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drawings/drawing6.xml" ContentType="application/vnd.openxmlformats-officedocument.drawingml.chartshapes+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Planning and Policy\SEA\"/>
    </mc:Choice>
  </mc:AlternateContent>
  <workbookProtection workbookAlgorithmName="SHA-512" workbookHashValue="oWLJuudyCLERiT9nISVp7jLTk6JWhlXzPlifSyhvUc8vvOa2LMlGa2/9v3Mk30RJBENfGOHO7eZcdUFr/ZiKtA==" workbookSaltValue="kpM/E3/aViFucTI0WgLK3g==" workbookSpinCount="100000" lockStructure="1"/>
  <bookViews>
    <workbookView xWindow="11985" yWindow="60" windowWidth="13185" windowHeight="11655"/>
  </bookViews>
  <sheets>
    <sheet name="Benefit cost calculation" sheetId="11" r:id="rId1"/>
    <sheet name="Sensitivity analysis" sheetId="19" r:id="rId2"/>
    <sheet name="Figure of benefits&amp;costs" sheetId="17" r:id="rId3"/>
    <sheet name="Summary " sheetId="12" r:id="rId4"/>
    <sheet name="Calculation of risk Pi" sheetId="4" r:id="rId5"/>
    <sheet name="Public and private costs" sheetId="9" r:id="rId6"/>
    <sheet name="Estimation of benefit value" sheetId="5" r:id="rId7"/>
    <sheet name="Boat owner survey results" sheetId="16" r:id="rId8"/>
    <sheet name="Hull survey data" sheetId="10" r:id="rId9"/>
    <sheet name="Boat movement data" sheetId="18" r:id="rId10"/>
    <sheet name="PPI for R&amp;M" sheetId="13" r:id="rId11"/>
    <sheet name="Estuary SEA's" sheetId="14" r:id="rId12"/>
    <sheet name="SEA Open Coast" sheetId="15" r:id="rId13"/>
  </sheets>
  <definedNames>
    <definedName name="_xlnm._FilterDatabase" localSheetId="7" hidden="1">'Boat owner survey results'!$A$2:$Q$86</definedName>
    <definedName name="_xlnm._FilterDatabase" localSheetId="8" hidden="1">'Hull survey data'!$A$1:$L$859</definedName>
  </definedNames>
  <calcPr calcId="171027"/>
  <pivotCaches>
    <pivotCache cacheId="0" r:id="rId14"/>
  </pivotCaches>
</workbook>
</file>

<file path=xl/calcChain.xml><?xml version="1.0" encoding="utf-8"?>
<calcChain xmlns="http://schemas.openxmlformats.org/spreadsheetml/2006/main">
  <c r="I39" i="9" l="1"/>
  <c r="E12" i="19" l="1"/>
  <c r="E143" i="9" l="1"/>
  <c r="F143" i="9"/>
  <c r="G143" i="9"/>
  <c r="H143" i="9"/>
  <c r="I143" i="9"/>
  <c r="J143" i="9"/>
  <c r="K143" i="9"/>
  <c r="D143" i="9"/>
  <c r="C143" i="9"/>
  <c r="B143" i="9"/>
  <c r="M143" i="9" l="1"/>
  <c r="B5" i="5"/>
  <c r="A19" i="12"/>
  <c r="C28" i="11" l="1"/>
  <c r="C46" i="11" s="1"/>
  <c r="D38" i="12"/>
  <c r="A63" i="9" s="1"/>
  <c r="E41" i="9"/>
  <c r="I56" i="9"/>
  <c r="I57" i="9" s="1"/>
  <c r="H45" i="4"/>
  <c r="I45" i="4"/>
  <c r="H28" i="12"/>
  <c r="I47" i="4" l="1"/>
  <c r="I49" i="4" s="1"/>
  <c r="I58" i="4" s="1"/>
  <c r="I60" i="4" s="1"/>
  <c r="I25" i="9"/>
  <c r="E69" i="9"/>
  <c r="F69" i="9" s="1"/>
  <c r="C87" i="9"/>
  <c r="D87" i="9" s="1"/>
  <c r="E87" i="9" s="1"/>
  <c r="C97" i="9"/>
  <c r="D97" i="9" s="1"/>
  <c r="E70" i="9"/>
  <c r="F70" i="9" s="1"/>
  <c r="C101" i="9"/>
  <c r="D101" i="9" s="1"/>
  <c r="E68" i="9"/>
  <c r="F68" i="9" s="1"/>
  <c r="C100" i="9"/>
  <c r="D100" i="9" s="1"/>
  <c r="E67" i="9"/>
  <c r="F67" i="9" s="1"/>
  <c r="G67" i="9" s="1"/>
  <c r="C99" i="9"/>
  <c r="D99" i="9" s="1"/>
  <c r="C88" i="9"/>
  <c r="D88" i="9" s="1"/>
  <c r="E88" i="9" s="1"/>
  <c r="C98" i="9"/>
  <c r="D98" i="9" s="1"/>
  <c r="C86" i="9"/>
  <c r="D86" i="9" s="1"/>
  <c r="E86" i="9" s="1"/>
  <c r="C96" i="9"/>
  <c r="D96" i="9" s="1"/>
  <c r="E72" i="9"/>
  <c r="F72" i="9" s="1"/>
  <c r="C85" i="9"/>
  <c r="D85" i="9" s="1"/>
  <c r="E85" i="9" s="1"/>
  <c r="E71" i="9"/>
  <c r="F71" i="9" s="1"/>
  <c r="C84" i="9"/>
  <c r="D84" i="9" s="1"/>
  <c r="E84" i="9" s="1"/>
  <c r="C83" i="9"/>
  <c r="D83" i="9" s="1"/>
  <c r="E83" i="9" s="1"/>
  <c r="C39" i="11"/>
  <c r="A18" i="12"/>
  <c r="I123" i="9"/>
  <c r="I124" i="9"/>
  <c r="K127" i="9"/>
  <c r="B129" i="9"/>
  <c r="B130" i="9" s="1"/>
  <c r="C124" i="9"/>
  <c r="D41" i="9" l="1"/>
  <c r="C41" i="9"/>
  <c r="B50" i="9" l="1"/>
  <c r="B13" i="9"/>
  <c r="B15" i="9" l="1"/>
  <c r="A35" i="9"/>
  <c r="F39" i="11" l="1"/>
  <c r="E28" i="11" l="1"/>
  <c r="E46" i="11" s="1"/>
  <c r="E42" i="11" l="1"/>
  <c r="E39" i="11"/>
  <c r="E41" i="11"/>
  <c r="E45" i="11"/>
  <c r="E43" i="11"/>
  <c r="E40" i="11"/>
  <c r="E44" i="11"/>
  <c r="E101" i="9" l="1"/>
  <c r="E100" i="9"/>
  <c r="E99" i="9"/>
  <c r="E98" i="9"/>
  <c r="E97" i="9"/>
  <c r="E96" i="9"/>
  <c r="G96" i="9" s="1"/>
  <c r="G84" i="9"/>
  <c r="G83" i="9"/>
  <c r="B26" i="12"/>
  <c r="B28" i="12" s="1"/>
  <c r="C39" i="9" s="1"/>
  <c r="D26" i="12"/>
  <c r="D28" i="12" s="1"/>
  <c r="C26" i="12"/>
  <c r="E26" i="12"/>
  <c r="E28" i="12" s="1"/>
  <c r="F26" i="12"/>
  <c r="G26" i="12"/>
  <c r="G28" i="12" s="1"/>
  <c r="H39" i="9" s="1"/>
  <c r="H41" i="9" s="1"/>
  <c r="F129" i="9"/>
  <c r="F130" i="9" s="1"/>
  <c r="G129" i="9"/>
  <c r="G130" i="9" s="1"/>
  <c r="H129" i="9"/>
  <c r="H130" i="9" s="1"/>
  <c r="C129" i="9"/>
  <c r="C130" i="9" s="1"/>
  <c r="D129" i="9"/>
  <c r="D130" i="9" s="1"/>
  <c r="E56" i="9"/>
  <c r="E57" i="9" s="1"/>
  <c r="E45" i="4"/>
  <c r="G98" i="9" l="1"/>
  <c r="H107" i="9" s="1"/>
  <c r="H105" i="9"/>
  <c r="G97" i="9"/>
  <c r="H106" i="9" s="1"/>
  <c r="G99" i="9"/>
  <c r="H108" i="9" s="1"/>
  <c r="G100" i="9"/>
  <c r="H109" i="9" s="1"/>
  <c r="G101" i="9"/>
  <c r="H110" i="9" s="1"/>
  <c r="G87" i="9"/>
  <c r="F109" i="9" s="1"/>
  <c r="G88" i="9"/>
  <c r="F110" i="9" s="1"/>
  <c r="F105" i="9"/>
  <c r="F106" i="9"/>
  <c r="G85" i="9"/>
  <c r="F107" i="9" s="1"/>
  <c r="G86" i="9"/>
  <c r="F108" i="9" s="1"/>
  <c r="E47" i="4"/>
  <c r="E49" i="4" s="1"/>
  <c r="E39" i="9"/>
  <c r="E25" i="9"/>
  <c r="E26" i="9" s="1"/>
  <c r="A21" i="9"/>
  <c r="A20" i="9"/>
  <c r="A19" i="9"/>
  <c r="E58" i="4" l="1"/>
  <c r="E28" i="9"/>
  <c r="E29" i="9" s="1"/>
  <c r="E30" i="9" s="1"/>
  <c r="E31" i="9" s="1"/>
  <c r="E7" i="9" s="1"/>
  <c r="H25" i="9"/>
  <c r="H26" i="9" s="1"/>
  <c r="H28" i="9" s="1"/>
  <c r="H29" i="9" s="1"/>
  <c r="H30" i="9" s="1"/>
  <c r="F28" i="12"/>
  <c r="C28" i="12"/>
  <c r="C25" i="9"/>
  <c r="C26" i="9" s="1"/>
  <c r="C28" i="9" s="1"/>
  <c r="E42" i="9" l="1"/>
  <c r="E13" i="9" s="1"/>
  <c r="C42" i="9"/>
  <c r="C13" i="9" s="1"/>
  <c r="H42" i="9"/>
  <c r="H13" i="9" s="1"/>
  <c r="D25" i="9"/>
  <c r="D26" i="9" s="1"/>
  <c r="D28" i="9" s="1"/>
  <c r="D29" i="9" s="1"/>
  <c r="D30" i="9" s="1"/>
  <c r="D31" i="9" s="1"/>
  <c r="D7" i="9" s="1"/>
  <c r="D39" i="9"/>
  <c r="F25" i="9"/>
  <c r="F26" i="9" s="1"/>
  <c r="F28" i="9" s="1"/>
  <c r="F29" i="9" s="1"/>
  <c r="F30" i="9" s="1"/>
  <c r="F31" i="9" s="1"/>
  <c r="F7" i="9" s="1"/>
  <c r="F39" i="9"/>
  <c r="F41" i="9" s="1"/>
  <c r="G25" i="9"/>
  <c r="G26" i="9" s="1"/>
  <c r="G28" i="9" s="1"/>
  <c r="G29" i="9" s="1"/>
  <c r="G30" i="9" s="1"/>
  <c r="G31" i="9" s="1"/>
  <c r="G7" i="9" s="1"/>
  <c r="G39" i="9"/>
  <c r="G41" i="9" s="1"/>
  <c r="H31" i="9"/>
  <c r="H7" i="9" s="1"/>
  <c r="C29" i="9"/>
  <c r="C30" i="9" s="1"/>
  <c r="F26" i="5"/>
  <c r="G26" i="5" s="1"/>
  <c r="B17" i="5"/>
  <c r="C17" i="5"/>
  <c r="F17" i="5"/>
  <c r="E17" i="5"/>
  <c r="G17" i="5"/>
  <c r="D17" i="5"/>
  <c r="H17" i="5"/>
  <c r="B18" i="5"/>
  <c r="C18" i="5"/>
  <c r="F18" i="5"/>
  <c r="E18" i="5"/>
  <c r="G18" i="5"/>
  <c r="D18" i="5"/>
  <c r="H18" i="5"/>
  <c r="B19" i="5"/>
  <c r="C19" i="5"/>
  <c r="F19" i="5"/>
  <c r="E19" i="5"/>
  <c r="G19" i="5"/>
  <c r="D19" i="5"/>
  <c r="H19" i="5"/>
  <c r="C16" i="5"/>
  <c r="F16" i="5"/>
  <c r="E16" i="5"/>
  <c r="G16" i="5"/>
  <c r="D16" i="5"/>
  <c r="H16" i="5"/>
  <c r="B16" i="5"/>
  <c r="I15" i="5"/>
  <c r="I12" i="5"/>
  <c r="I13" i="5"/>
  <c r="I14" i="5"/>
  <c r="I11" i="5"/>
  <c r="D124" i="9"/>
  <c r="B124" i="9"/>
  <c r="B123" i="9"/>
  <c r="L211" i="11"/>
  <c r="D56" i="9"/>
  <c r="F56" i="9"/>
  <c r="F57" i="9" s="1"/>
  <c r="G56" i="9"/>
  <c r="H56" i="9"/>
  <c r="C56" i="9"/>
  <c r="C31" i="9" l="1"/>
  <c r="C7" i="9" s="1"/>
  <c r="B20" i="5"/>
  <c r="B25" i="5" s="1"/>
  <c r="E20" i="5"/>
  <c r="E25" i="5" s="1"/>
  <c r="E27" i="5" s="1"/>
  <c r="I16" i="5"/>
  <c r="I18" i="5"/>
  <c r="I19" i="5"/>
  <c r="I17" i="5"/>
  <c r="G20" i="5"/>
  <c r="F20" i="5"/>
  <c r="F25" i="5" s="1"/>
  <c r="F27" i="5" s="1"/>
  <c r="C20" i="5"/>
  <c r="C25" i="5" s="1"/>
  <c r="H20" i="5"/>
  <c r="D20" i="5"/>
  <c r="D25" i="5" s="1"/>
  <c r="D27" i="5" s="1"/>
  <c r="D28" i="11"/>
  <c r="B57" i="9"/>
  <c r="G42" i="9" l="1"/>
  <c r="G13" i="9" s="1"/>
  <c r="D42" i="9"/>
  <c r="D13" i="9" s="1"/>
  <c r="F42" i="9"/>
  <c r="F13" i="9" s="1"/>
  <c r="D39" i="11"/>
  <c r="K78" i="11"/>
  <c r="J78" i="11" s="1"/>
  <c r="I78" i="11" s="1"/>
  <c r="H78" i="11" s="1"/>
  <c r="G78" i="11" s="1"/>
  <c r="F78" i="11" s="1"/>
  <c r="E78" i="11" s="1"/>
  <c r="D78" i="11" s="1"/>
  <c r="C78" i="11" s="1"/>
  <c r="B78" i="11" s="1"/>
  <c r="K33" i="11"/>
  <c r="I20" i="5"/>
  <c r="J33" i="11" l="1"/>
  <c r="K53" i="11"/>
  <c r="L97" i="16"/>
  <c r="L93" i="16"/>
  <c r="L103" i="16" s="1"/>
  <c r="H112" i="16" s="1"/>
  <c r="E103" i="16"/>
  <c r="N97" i="16"/>
  <c r="M97" i="16"/>
  <c r="K97" i="16"/>
  <c r="J97" i="16"/>
  <c r="I97" i="16"/>
  <c r="H97" i="16"/>
  <c r="G97" i="16"/>
  <c r="F97" i="16"/>
  <c r="N96" i="16"/>
  <c r="M96" i="16"/>
  <c r="L96" i="16"/>
  <c r="K96" i="16"/>
  <c r="J96" i="16"/>
  <c r="I96" i="16"/>
  <c r="H96" i="16"/>
  <c r="G96" i="16"/>
  <c r="F96" i="16"/>
  <c r="N95" i="16"/>
  <c r="M95" i="16"/>
  <c r="L95" i="16"/>
  <c r="K95" i="16"/>
  <c r="J95" i="16"/>
  <c r="I95" i="16"/>
  <c r="H95" i="16"/>
  <c r="G95" i="16"/>
  <c r="F95" i="16"/>
  <c r="N94" i="16"/>
  <c r="M94" i="16"/>
  <c r="L94" i="16"/>
  <c r="K94" i="16"/>
  <c r="J94" i="16"/>
  <c r="I94" i="16"/>
  <c r="H94" i="16"/>
  <c r="G94" i="16"/>
  <c r="F94" i="16"/>
  <c r="N93" i="16"/>
  <c r="N103" i="16" s="1"/>
  <c r="N112" i="16" s="1"/>
  <c r="M93" i="16"/>
  <c r="M103" i="16" s="1"/>
  <c r="K112" i="16" s="1"/>
  <c r="K93" i="16"/>
  <c r="K103" i="16" s="1"/>
  <c r="M112" i="16" s="1"/>
  <c r="J93" i="16"/>
  <c r="J103" i="16" s="1"/>
  <c r="J112" i="16" s="1"/>
  <c r="I93" i="16"/>
  <c r="I103" i="16" s="1"/>
  <c r="G112" i="16" s="1"/>
  <c r="H93" i="16"/>
  <c r="H103" i="16" s="1"/>
  <c r="L112" i="16" s="1"/>
  <c r="G93" i="16"/>
  <c r="G103" i="16" s="1"/>
  <c r="I112" i="16" s="1"/>
  <c r="F93" i="16"/>
  <c r="F103" i="16" s="1"/>
  <c r="N92" i="16"/>
  <c r="N108" i="16" s="1"/>
  <c r="N117" i="16" s="1"/>
  <c r="M92" i="16"/>
  <c r="L92" i="16"/>
  <c r="L108" i="16" s="1"/>
  <c r="H117" i="16" s="1"/>
  <c r="K92" i="16"/>
  <c r="J92" i="16"/>
  <c r="J108" i="16" s="1"/>
  <c r="J117" i="16" s="1"/>
  <c r="I92" i="16"/>
  <c r="I108" i="16" s="1"/>
  <c r="G117" i="16" s="1"/>
  <c r="H92" i="16"/>
  <c r="H108" i="16" s="1"/>
  <c r="L117" i="16" s="1"/>
  <c r="G92" i="16"/>
  <c r="G108" i="16" s="1"/>
  <c r="I117" i="16" s="1"/>
  <c r="F92" i="16"/>
  <c r="F108" i="16" s="1"/>
  <c r="F117" i="16" s="1"/>
  <c r="I33" i="11" l="1"/>
  <c r="J53" i="11"/>
  <c r="N104" i="16"/>
  <c r="N113" i="16" s="1"/>
  <c r="L104" i="16"/>
  <c r="H113" i="16" s="1"/>
  <c r="L105" i="16"/>
  <c r="H114" i="16" s="1"/>
  <c r="F104" i="16"/>
  <c r="F113" i="16" s="1"/>
  <c r="N105" i="16"/>
  <c r="N114" i="16" s="1"/>
  <c r="N107" i="16"/>
  <c r="N116" i="16" s="1"/>
  <c r="L106" i="16"/>
  <c r="H115" i="16" s="1"/>
  <c r="L107" i="16"/>
  <c r="H116" i="16" s="1"/>
  <c r="N106" i="16"/>
  <c r="N115" i="16" s="1"/>
  <c r="F112" i="16"/>
  <c r="H105" i="16"/>
  <c r="L114" i="16" s="1"/>
  <c r="G106" i="16"/>
  <c r="I115" i="16" s="1"/>
  <c r="F107" i="16"/>
  <c r="F116" i="16" s="1"/>
  <c r="M104" i="16"/>
  <c r="K113" i="16" s="1"/>
  <c r="K106" i="16"/>
  <c r="M115" i="16" s="1"/>
  <c r="J107" i="16"/>
  <c r="J116" i="16" s="1"/>
  <c r="I105" i="16"/>
  <c r="G114" i="16" s="1"/>
  <c r="J105" i="16"/>
  <c r="J114" i="16" s="1"/>
  <c r="I106" i="16"/>
  <c r="G115" i="16" s="1"/>
  <c r="H107" i="16"/>
  <c r="L116" i="16" s="1"/>
  <c r="M108" i="16"/>
  <c r="K117" i="16" s="1"/>
  <c r="K105" i="16"/>
  <c r="M114" i="16" s="1"/>
  <c r="J106" i="16"/>
  <c r="J115" i="16" s="1"/>
  <c r="I107" i="16"/>
  <c r="G116" i="16" s="1"/>
  <c r="J104" i="16"/>
  <c r="J113" i="16" s="1"/>
  <c r="K108" i="16"/>
  <c r="M117" i="16" s="1"/>
  <c r="M105" i="16"/>
  <c r="K114" i="16" s="1"/>
  <c r="K107" i="16"/>
  <c r="M116" i="16" s="1"/>
  <c r="H106" i="16"/>
  <c r="L115" i="16" s="1"/>
  <c r="G104" i="16"/>
  <c r="I113" i="16" s="1"/>
  <c r="F105" i="16"/>
  <c r="F114" i="16" s="1"/>
  <c r="M106" i="16"/>
  <c r="K115" i="16" s="1"/>
  <c r="G107" i="16"/>
  <c r="I116" i="16" s="1"/>
  <c r="K104" i="16"/>
  <c r="M113" i="16" s="1"/>
  <c r="H104" i="16"/>
  <c r="L113" i="16" s="1"/>
  <c r="G105" i="16"/>
  <c r="I114" i="16" s="1"/>
  <c r="F106" i="16"/>
  <c r="F115" i="16" s="1"/>
  <c r="M107" i="16"/>
  <c r="K116" i="16" s="1"/>
  <c r="I104" i="16"/>
  <c r="G113" i="16" s="1"/>
  <c r="H33" i="11" l="1"/>
  <c r="I53" i="11"/>
  <c r="E55" i="15"/>
  <c r="C47" i="4"/>
  <c r="C45" i="4"/>
  <c r="C49" i="4" l="1"/>
  <c r="G33" i="11"/>
  <c r="H53" i="11"/>
  <c r="F33" i="11" l="1"/>
  <c r="G53" i="11"/>
  <c r="G57" i="9"/>
  <c r="Y40" i="10"/>
  <c r="Y41" i="10"/>
  <c r="Y42" i="10"/>
  <c r="Y43" i="10"/>
  <c r="Y44" i="10"/>
  <c r="X44" i="10"/>
  <c r="W44" i="10"/>
  <c r="V44" i="10"/>
  <c r="U44" i="10"/>
  <c r="T44" i="10"/>
  <c r="X43" i="10"/>
  <c r="W43" i="10"/>
  <c r="V43" i="10"/>
  <c r="U43" i="10"/>
  <c r="T43" i="10"/>
  <c r="X42" i="10"/>
  <c r="W42" i="10"/>
  <c r="V42" i="10"/>
  <c r="U42" i="10"/>
  <c r="T42" i="10"/>
  <c r="X41" i="10"/>
  <c r="W41" i="10"/>
  <c r="V41" i="10"/>
  <c r="U41" i="10"/>
  <c r="T41" i="10"/>
  <c r="X40" i="10"/>
  <c r="W40" i="10"/>
  <c r="V40" i="10"/>
  <c r="U40" i="10"/>
  <c r="T40" i="10"/>
  <c r="D31" i="4"/>
  <c r="E53" i="15"/>
  <c r="E54" i="15" s="1"/>
  <c r="E56" i="15" s="1"/>
  <c r="E58" i="15" s="1"/>
  <c r="D50" i="14"/>
  <c r="D48" i="14"/>
  <c r="D51" i="14"/>
  <c r="D52" i="14"/>
  <c r="D53" i="14" s="1"/>
  <c r="E33" i="11" l="1"/>
  <c r="F53" i="11"/>
  <c r="Z40" i="10"/>
  <c r="U49" i="10" s="1"/>
  <c r="Z44" i="10"/>
  <c r="V53" i="10" s="1"/>
  <c r="Z41" i="10"/>
  <c r="U50" i="10" s="1"/>
  <c r="Z43" i="10"/>
  <c r="U52" i="10" s="1"/>
  <c r="Z45" i="10"/>
  <c r="Z42" i="10"/>
  <c r="U51" i="10" s="1"/>
  <c r="V46" i="10"/>
  <c r="Y46" i="10"/>
  <c r="AF41" i="10" s="1"/>
  <c r="X46" i="10"/>
  <c r="U46" i="10"/>
  <c r="AB41" i="10" s="1"/>
  <c r="T46" i="10"/>
  <c r="AA44" i="10" s="1"/>
  <c r="W46" i="10"/>
  <c r="AD41" i="10" s="1"/>
  <c r="G68" i="9"/>
  <c r="H68" i="9" s="1"/>
  <c r="G69" i="9"/>
  <c r="G70" i="9"/>
  <c r="G71" i="9"/>
  <c r="G72" i="9"/>
  <c r="H72" i="9" s="1"/>
  <c r="C111" i="9"/>
  <c r="H128" i="9" s="1"/>
  <c r="AB96" i="10"/>
  <c r="AC96" i="10"/>
  <c r="AD96" i="10"/>
  <c r="AE96" i="10"/>
  <c r="AF96" i="10"/>
  <c r="AB97" i="10"/>
  <c r="AC97" i="10"/>
  <c r="AD97" i="10"/>
  <c r="AE97" i="10"/>
  <c r="AF97" i="10"/>
  <c r="AA97" i="10"/>
  <c r="AA96" i="10"/>
  <c r="U101" i="10"/>
  <c r="D45" i="4"/>
  <c r="F45" i="4"/>
  <c r="G45" i="4"/>
  <c r="Z9" i="10"/>
  <c r="D47" i="4"/>
  <c r="F47" i="4"/>
  <c r="G47" i="4"/>
  <c r="H47" i="4"/>
  <c r="H49" i="4" s="1"/>
  <c r="AC78" i="10"/>
  <c r="AD78" i="10" s="1"/>
  <c r="G49" i="4" l="1"/>
  <c r="F49" i="4"/>
  <c r="D49" i="4"/>
  <c r="J68" i="9"/>
  <c r="J72" i="9"/>
  <c r="C110" i="9"/>
  <c r="C105" i="9"/>
  <c r="C106" i="9"/>
  <c r="C109" i="9"/>
  <c r="C107" i="9"/>
  <c r="C108" i="9"/>
  <c r="V50" i="10"/>
  <c r="X51" i="10"/>
  <c r="AB44" i="10"/>
  <c r="AA41" i="10"/>
  <c r="T52" i="10"/>
  <c r="W49" i="10"/>
  <c r="T53" i="10"/>
  <c r="Z46" i="10"/>
  <c r="AG46" i="10" s="1"/>
  <c r="Y50" i="10"/>
  <c r="Y52" i="10"/>
  <c r="AB42" i="10"/>
  <c r="AF42" i="10"/>
  <c r="Y51" i="10"/>
  <c r="V49" i="10"/>
  <c r="X49" i="10"/>
  <c r="X50" i="10"/>
  <c r="W50" i="10"/>
  <c r="X52" i="10"/>
  <c r="D33" i="11"/>
  <c r="E53" i="11"/>
  <c r="H67" i="9"/>
  <c r="H71" i="9"/>
  <c r="H70" i="9"/>
  <c r="J70" i="9" s="1"/>
  <c r="H69" i="9"/>
  <c r="J69" i="9" s="1"/>
  <c r="E128" i="9"/>
  <c r="F128" i="9"/>
  <c r="B128" i="9"/>
  <c r="D57" i="9"/>
  <c r="D128" i="9"/>
  <c r="C128" i="9"/>
  <c r="AE44" i="10"/>
  <c r="AE45" i="10"/>
  <c r="AE46" i="10"/>
  <c r="Y53" i="10"/>
  <c r="AE43" i="10"/>
  <c r="AE42" i="10"/>
  <c r="AF44" i="10"/>
  <c r="AF43" i="10"/>
  <c r="AF45" i="10"/>
  <c r="AF46" i="10"/>
  <c r="AC45" i="10"/>
  <c r="AC46" i="10"/>
  <c r="AC40" i="10"/>
  <c r="AC42" i="10"/>
  <c r="AD46" i="10"/>
  <c r="AD42" i="10"/>
  <c r="AD43" i="10"/>
  <c r="AD45" i="10"/>
  <c r="W54" i="10"/>
  <c r="X54" i="10"/>
  <c r="Y54" i="10"/>
  <c r="T54" i="10"/>
  <c r="U54" i="10"/>
  <c r="V54" i="10"/>
  <c r="AE41" i="10"/>
  <c r="AF40" i="10"/>
  <c r="V52" i="10"/>
  <c r="AA45" i="10"/>
  <c r="AA46" i="10"/>
  <c r="AA40" i="10"/>
  <c r="AA42" i="10"/>
  <c r="W52" i="10"/>
  <c r="AD40" i="10"/>
  <c r="AD44" i="10"/>
  <c r="U53" i="10"/>
  <c r="V51" i="10"/>
  <c r="X53" i="10"/>
  <c r="AC41" i="10"/>
  <c r="AC44" i="10"/>
  <c r="T51" i="10"/>
  <c r="AB45" i="10"/>
  <c r="AB40" i="10"/>
  <c r="AB46" i="10"/>
  <c r="AB43" i="10"/>
  <c r="T50" i="10"/>
  <c r="Y49" i="10"/>
  <c r="T49" i="10"/>
  <c r="AC43" i="10"/>
  <c r="W51" i="10"/>
  <c r="AE40" i="10"/>
  <c r="AA43" i="10"/>
  <c r="W53" i="10"/>
  <c r="AE78" i="10"/>
  <c r="AF78" i="10" s="1"/>
  <c r="AG78" i="10" s="1"/>
  <c r="G128" i="9"/>
  <c r="F28" i="11"/>
  <c r="F46" i="11" s="1"/>
  <c r="I19" i="9" l="1"/>
  <c r="D106" i="9"/>
  <c r="E106" i="9" s="1"/>
  <c r="D107" i="9"/>
  <c r="E107" i="9" s="1"/>
  <c r="J71" i="9"/>
  <c r="D109" i="9" s="1"/>
  <c r="E109" i="9" s="1"/>
  <c r="D108" i="9"/>
  <c r="E108" i="9" s="1"/>
  <c r="D110" i="9"/>
  <c r="E110" i="9" s="1"/>
  <c r="J67" i="9"/>
  <c r="D105" i="9" s="1"/>
  <c r="E105" i="9" s="1"/>
  <c r="Z47" i="10"/>
  <c r="V47" i="10"/>
  <c r="W55" i="10"/>
  <c r="AG44" i="10"/>
  <c r="Y55" i="10"/>
  <c r="G107" i="9"/>
  <c r="G109" i="9"/>
  <c r="G106" i="9"/>
  <c r="G108" i="9"/>
  <c r="G110" i="9"/>
  <c r="G105" i="9"/>
  <c r="AG41" i="10"/>
  <c r="Y47" i="10"/>
  <c r="U55" i="10"/>
  <c r="X47" i="10"/>
  <c r="W47" i="10"/>
  <c r="AG40" i="10"/>
  <c r="T55" i="10"/>
  <c r="AG45" i="10"/>
  <c r="AG42" i="10"/>
  <c r="X55" i="10"/>
  <c r="U47" i="10"/>
  <c r="AG43" i="10"/>
  <c r="T47" i="10"/>
  <c r="V55" i="10"/>
  <c r="AE47" i="10"/>
  <c r="AA47" i="10"/>
  <c r="F45" i="11"/>
  <c r="F40" i="11"/>
  <c r="F43" i="11"/>
  <c r="F42" i="11"/>
  <c r="F41" i="11"/>
  <c r="F44" i="11"/>
  <c r="C33" i="11"/>
  <c r="D53" i="11"/>
  <c r="AB47" i="10"/>
  <c r="AD47" i="10"/>
  <c r="AF47" i="10"/>
  <c r="AC47" i="10"/>
  <c r="AC64" i="10"/>
  <c r="AB64" i="10"/>
  <c r="AA64" i="10"/>
  <c r="Z64" i="10"/>
  <c r="U69" i="10"/>
  <c r="B23" i="11"/>
  <c r="C6" i="4"/>
  <c r="C8" i="4"/>
  <c r="I41" i="9" l="1"/>
  <c r="I42" i="9" s="1"/>
  <c r="I13" i="9" s="1"/>
  <c r="I26" i="9"/>
  <c r="I28" i="9" s="1"/>
  <c r="I29" i="9" s="1"/>
  <c r="I30" i="9" s="1"/>
  <c r="I31" i="9" s="1"/>
  <c r="I7" i="9" s="1"/>
  <c r="G111" i="9"/>
  <c r="B122" i="9" s="1"/>
  <c r="E111" i="9"/>
  <c r="E112" i="9" s="1"/>
  <c r="AG47" i="10"/>
  <c r="B33" i="11"/>
  <c r="C53" i="11"/>
  <c r="E222" i="11"/>
  <c r="K222" i="11"/>
  <c r="F222" i="11"/>
  <c r="C222" i="11"/>
  <c r="G222" i="11"/>
  <c r="H222" i="11"/>
  <c r="I222" i="11"/>
  <c r="J222" i="11"/>
  <c r="D222" i="11"/>
  <c r="B222" i="11"/>
  <c r="B18" i="4"/>
  <c r="G58" i="4"/>
  <c r="H58" i="4"/>
  <c r="C123" i="9" l="1"/>
  <c r="B53" i="11"/>
  <c r="B67" i="4"/>
  <c r="B19" i="4"/>
  <c r="B20" i="4" s="1"/>
  <c r="F58" i="4"/>
  <c r="C68" i="4" l="1"/>
  <c r="I68" i="4"/>
  <c r="B68" i="4"/>
  <c r="B69" i="4" s="1"/>
  <c r="E68" i="4"/>
  <c r="B28" i="11"/>
  <c r="B39" i="11" s="1"/>
  <c r="B81" i="11" s="1"/>
  <c r="D58" i="4"/>
  <c r="C58" i="4"/>
  <c r="H68" i="4"/>
  <c r="D68" i="4"/>
  <c r="F68" i="4"/>
  <c r="G68" i="4"/>
  <c r="B70" i="4" l="1"/>
  <c r="C81" i="11"/>
  <c r="G39" i="11"/>
  <c r="G28" i="11"/>
  <c r="B35" i="4"/>
  <c r="F29" i="4"/>
  <c r="F30" i="4"/>
  <c r="E31" i="4"/>
  <c r="F31" i="4" s="1"/>
  <c r="D29" i="4"/>
  <c r="D30" i="4"/>
  <c r="M33" i="4" l="1"/>
  <c r="K30" i="4"/>
  <c r="L30" i="4" s="1"/>
  <c r="G30" i="4"/>
  <c r="H30" i="4"/>
  <c r="M30" i="4"/>
  <c r="M31" i="4"/>
  <c r="M32" i="4"/>
  <c r="I30" i="4"/>
  <c r="J30" i="4" s="1"/>
  <c r="M34" i="4"/>
  <c r="K34" i="4"/>
  <c r="K33" i="4"/>
  <c r="G31" i="4"/>
  <c r="H31" i="4" s="1"/>
  <c r="K32" i="4"/>
  <c r="K31" i="4"/>
  <c r="L31" i="4" s="1"/>
  <c r="I31" i="4"/>
  <c r="J31" i="4" s="1"/>
  <c r="Q32" i="4"/>
  <c r="Q31" i="4"/>
  <c r="R31" i="4" s="1"/>
  <c r="Q30" i="4"/>
  <c r="R30" i="4" s="1"/>
  <c r="O34" i="4"/>
  <c r="K29" i="4"/>
  <c r="L29" i="4" s="1"/>
  <c r="Q34" i="4"/>
  <c r="Q33" i="4"/>
  <c r="M29" i="4"/>
  <c r="N29" i="4" s="1"/>
  <c r="G29" i="4"/>
  <c r="H29" i="4" s="1"/>
  <c r="Q29" i="4"/>
  <c r="R29" i="4" s="1"/>
  <c r="I29" i="4"/>
  <c r="J29" i="4" s="1"/>
  <c r="O30" i="4"/>
  <c r="P30" i="4" s="1"/>
  <c r="N30" i="4"/>
  <c r="O29" i="4"/>
  <c r="P29" i="4" s="1"/>
  <c r="O33" i="4"/>
  <c r="O32" i="4"/>
  <c r="O31" i="4"/>
  <c r="P31" i="4" s="1"/>
  <c r="B16" i="9" l="1"/>
  <c r="G212" i="11" l="1"/>
  <c r="G223" i="11" s="1"/>
  <c r="H212" i="11"/>
  <c r="H223" i="11" s="1"/>
  <c r="I212" i="11"/>
  <c r="I223" i="11" s="1"/>
  <c r="J212" i="11"/>
  <c r="J223" i="11" s="1"/>
  <c r="C212" i="11"/>
  <c r="C223" i="11" s="1"/>
  <c r="K212" i="11"/>
  <c r="K223" i="11" s="1"/>
  <c r="D212" i="11"/>
  <c r="D223" i="11" s="1"/>
  <c r="E212" i="11"/>
  <c r="E223" i="11" s="1"/>
  <c r="F212" i="11"/>
  <c r="F223" i="11" s="1"/>
  <c r="T29" i="10"/>
  <c r="U29" i="10"/>
  <c r="V29" i="10"/>
  <c r="W29" i="10"/>
  <c r="X29" i="10"/>
  <c r="T30" i="10"/>
  <c r="U30" i="10"/>
  <c r="V30" i="10"/>
  <c r="W30" i="10"/>
  <c r="X30" i="10"/>
  <c r="T31" i="10"/>
  <c r="U31" i="10"/>
  <c r="V31" i="10"/>
  <c r="W31" i="10"/>
  <c r="X31" i="10"/>
  <c r="T32" i="10"/>
  <c r="U32" i="10"/>
  <c r="V32" i="10"/>
  <c r="W32" i="10"/>
  <c r="X32" i="10"/>
  <c r="Y33" i="10"/>
  <c r="AB33" i="10"/>
  <c r="U28" i="10"/>
  <c r="V28" i="10"/>
  <c r="W28" i="10"/>
  <c r="X28" i="10"/>
  <c r="T28" i="10"/>
  <c r="Z5" i="10"/>
  <c r="Z6" i="10"/>
  <c r="Z7" i="10"/>
  <c r="Z8" i="10"/>
  <c r="Z4" i="10"/>
  <c r="AE20" i="10"/>
  <c r="AF20" i="10"/>
  <c r="AG20" i="10"/>
  <c r="AH20" i="10"/>
  <c r="AI20" i="10"/>
  <c r="AJ20" i="10"/>
  <c r="AK20" i="10"/>
  <c r="AE21" i="10"/>
  <c r="AF21" i="10"/>
  <c r="AG21" i="10"/>
  <c r="AH21" i="10"/>
  <c r="AI21" i="10"/>
  <c r="AJ21" i="10"/>
  <c r="AK21" i="10"/>
  <c r="AE22" i="10"/>
  <c r="AF22" i="10"/>
  <c r="AG22" i="10"/>
  <c r="AH22" i="10"/>
  <c r="AI22" i="10"/>
  <c r="AJ22" i="10"/>
  <c r="AK22" i="10"/>
  <c r="AE23" i="10"/>
  <c r="AF23" i="10"/>
  <c r="AG23" i="10"/>
  <c r="AH23" i="10"/>
  <c r="AI23" i="10"/>
  <c r="AJ23" i="10"/>
  <c r="AK23" i="10"/>
  <c r="AE24" i="10"/>
  <c r="AF24" i="10"/>
  <c r="AG24" i="10"/>
  <c r="AH24" i="10"/>
  <c r="AI24" i="10"/>
  <c r="AJ24" i="10"/>
  <c r="AK24" i="10"/>
  <c r="AF19" i="10"/>
  <c r="AG19" i="10"/>
  <c r="AH19" i="10"/>
  <c r="AI19" i="10"/>
  <c r="AJ19" i="10"/>
  <c r="AK19" i="10"/>
  <c r="AE19" i="10"/>
  <c r="AE4" i="10"/>
  <c r="T15" i="10"/>
  <c r="AK6" i="10"/>
  <c r="AE5" i="10"/>
  <c r="AF5" i="10"/>
  <c r="AG5" i="10"/>
  <c r="AH5" i="10"/>
  <c r="AI5" i="10"/>
  <c r="AJ5" i="10"/>
  <c r="AK5" i="10"/>
  <c r="AE6" i="10"/>
  <c r="AF6" i="10"/>
  <c r="AG6" i="10"/>
  <c r="AH6" i="10"/>
  <c r="AI6" i="10"/>
  <c r="AJ6" i="10"/>
  <c r="AE7" i="10"/>
  <c r="AF7" i="10"/>
  <c r="AG7" i="10"/>
  <c r="AH7" i="10"/>
  <c r="AI7" i="10"/>
  <c r="AJ7" i="10"/>
  <c r="AK7" i="10"/>
  <c r="AE8" i="10"/>
  <c r="AF8" i="10"/>
  <c r="AG8" i="10"/>
  <c r="AH8" i="10"/>
  <c r="AI8" i="10"/>
  <c r="AJ8" i="10"/>
  <c r="AK8" i="10"/>
  <c r="AE9" i="10"/>
  <c r="AF9" i="10"/>
  <c r="AG9" i="10"/>
  <c r="AH9" i="10"/>
  <c r="AI9" i="10"/>
  <c r="AJ9" i="10"/>
  <c r="AK9" i="10"/>
  <c r="AF4" i="10"/>
  <c r="AG4" i="10"/>
  <c r="AH4" i="10"/>
  <c r="AI4" i="10"/>
  <c r="AJ4" i="10"/>
  <c r="AK4" i="10"/>
  <c r="AB32" i="10" l="1"/>
  <c r="B212" i="11"/>
  <c r="B223" i="11" s="1"/>
  <c r="AB29" i="10"/>
  <c r="AL20" i="10"/>
  <c r="AN20" i="10" s="1"/>
  <c r="AB30" i="10"/>
  <c r="AA29" i="10"/>
  <c r="Y32" i="10"/>
  <c r="AB31" i="10"/>
  <c r="AA30" i="10"/>
  <c r="AA31" i="10"/>
  <c r="Y31" i="10"/>
  <c r="X34" i="10"/>
  <c r="AA33" i="10"/>
  <c r="W34" i="10"/>
  <c r="V34" i="10"/>
  <c r="T34" i="10"/>
  <c r="Y28" i="10"/>
  <c r="U34" i="10"/>
  <c r="AA28" i="10"/>
  <c r="Y30" i="10"/>
  <c r="AA32" i="10"/>
  <c r="Y29" i="10"/>
  <c r="AB28" i="10"/>
  <c r="Z10" i="10"/>
  <c r="AA5" i="10" s="1"/>
  <c r="AE25" i="10"/>
  <c r="AJ10" i="10"/>
  <c r="AJ12" i="10" s="1"/>
  <c r="AF10" i="10"/>
  <c r="AF12" i="10" s="1"/>
  <c r="AI10" i="10"/>
  <c r="AI12" i="10" s="1"/>
  <c r="AL22" i="10"/>
  <c r="AH25" i="10"/>
  <c r="AL23" i="10"/>
  <c r="AI25" i="10"/>
  <c r="AH10" i="10"/>
  <c r="AH12" i="10" s="1"/>
  <c r="AL4" i="10"/>
  <c r="AL21" i="10"/>
  <c r="AN21" i="10" s="1"/>
  <c r="AK10" i="10"/>
  <c r="AK12" i="10" s="1"/>
  <c r="AG10" i="10"/>
  <c r="AG12" i="10" s="1"/>
  <c r="AL24" i="10"/>
  <c r="AF25" i="10"/>
  <c r="AJ25" i="10"/>
  <c r="AG25" i="10"/>
  <c r="AK25" i="10"/>
  <c r="AE27" i="10"/>
  <c r="AL19" i="10"/>
  <c r="AL7" i="10"/>
  <c r="AN7" i="10" s="1"/>
  <c r="AL8" i="10"/>
  <c r="AN8" i="10" s="1"/>
  <c r="AL5" i="10"/>
  <c r="AL9" i="10"/>
  <c r="AN9" i="10" s="1"/>
  <c r="AL6" i="10"/>
  <c r="AN6" i="10" s="1"/>
  <c r="AE10" i="10"/>
  <c r="AE12" i="10" s="1"/>
  <c r="U5" i="10"/>
  <c r="AB5" i="10" s="1"/>
  <c r="W82" i="10"/>
  <c r="V96" i="10" s="1"/>
  <c r="W83" i="10"/>
  <c r="W84" i="10"/>
  <c r="V98" i="10" s="1"/>
  <c r="W85" i="10"/>
  <c r="W86" i="10"/>
  <c r="V100" i="10" s="1"/>
  <c r="W81" i="10"/>
  <c r="AB20" i="10"/>
  <c r="AA20" i="10"/>
  <c r="Y20" i="10"/>
  <c r="X19" i="10"/>
  <c r="W19" i="10"/>
  <c r="V19" i="10"/>
  <c r="U19" i="10"/>
  <c r="T19" i="10"/>
  <c r="X18" i="10"/>
  <c r="W18" i="10"/>
  <c r="V18" i="10"/>
  <c r="U18" i="10"/>
  <c r="T18" i="10"/>
  <c r="X17" i="10"/>
  <c r="W17" i="10"/>
  <c r="V17" i="10"/>
  <c r="U17" i="10"/>
  <c r="T17" i="10"/>
  <c r="X16" i="10"/>
  <c r="W16" i="10"/>
  <c r="V16" i="10"/>
  <c r="U16" i="10"/>
  <c r="T16" i="10"/>
  <c r="X15" i="10"/>
  <c r="W15" i="10"/>
  <c r="V15" i="10"/>
  <c r="U15" i="10"/>
  <c r="U9" i="10"/>
  <c r="AB9" i="10" s="1"/>
  <c r="U8" i="10"/>
  <c r="AB8" i="10" s="1"/>
  <c r="U7" i="10"/>
  <c r="AB7" i="10" s="1"/>
  <c r="U6" i="10"/>
  <c r="AB6" i="10" s="1"/>
  <c r="U4" i="10"/>
  <c r="AB4" i="10" s="1"/>
  <c r="L223" i="11" l="1"/>
  <c r="D241" i="11" s="1"/>
  <c r="AB34" i="10"/>
  <c r="V63" i="10"/>
  <c r="V95" i="10"/>
  <c r="V67" i="10"/>
  <c r="V99" i="10"/>
  <c r="V65" i="10"/>
  <c r="V97" i="10"/>
  <c r="L222" i="11"/>
  <c r="L212" i="11"/>
  <c r="AA7" i="10"/>
  <c r="AA9" i="10"/>
  <c r="AA6" i="10"/>
  <c r="AA8" i="10"/>
  <c r="AA4" i="10"/>
  <c r="AB10" i="10"/>
  <c r="AC4" i="10" s="1"/>
  <c r="Y34" i="10"/>
  <c r="V35" i="10" s="1"/>
  <c r="AA34" i="10"/>
  <c r="AA35" i="10" s="1"/>
  <c r="AN23" i="10"/>
  <c r="AN19" i="10"/>
  <c r="AH27" i="10"/>
  <c r="AN22" i="10"/>
  <c r="AI27" i="10"/>
  <c r="X21" i="10"/>
  <c r="T21" i="10"/>
  <c r="AL10" i="10"/>
  <c r="AL12" i="10" s="1"/>
  <c r="AN5" i="10"/>
  <c r="AN4" i="10"/>
  <c r="AJ27" i="10"/>
  <c r="AF27" i="10"/>
  <c r="AK27" i="10"/>
  <c r="AN24" i="10"/>
  <c r="AL25" i="10"/>
  <c r="AM23" i="10" s="1"/>
  <c r="AF79" i="10" s="1"/>
  <c r="AG27" i="10"/>
  <c r="AB18" i="10"/>
  <c r="AA16" i="10"/>
  <c r="AB17" i="10"/>
  <c r="AB19" i="10"/>
  <c r="AA17" i="10"/>
  <c r="AB15" i="10"/>
  <c r="AA18" i="10"/>
  <c r="AB16" i="10"/>
  <c r="Y19" i="10"/>
  <c r="AA19" i="10"/>
  <c r="U21" i="10"/>
  <c r="AA15" i="10"/>
  <c r="W21" i="10"/>
  <c r="Y18" i="10"/>
  <c r="V64" i="10"/>
  <c r="V68" i="10"/>
  <c r="V66" i="10"/>
  <c r="V21" i="10"/>
  <c r="Y17" i="10"/>
  <c r="Y16" i="10"/>
  <c r="U10" i="10"/>
  <c r="Y15" i="10"/>
  <c r="B10" i="12" l="1"/>
  <c r="G27" i="5"/>
  <c r="Z30" i="10"/>
  <c r="AM22" i="10"/>
  <c r="AE79" i="10" s="1"/>
  <c r="T97" i="10"/>
  <c r="U97" i="10" s="1"/>
  <c r="W97" i="10" s="1"/>
  <c r="W35" i="10"/>
  <c r="T35" i="10"/>
  <c r="Z34" i="10"/>
  <c r="Y35" i="10"/>
  <c r="AB35" i="10"/>
  <c r="Z28" i="10"/>
  <c r="AC5" i="10"/>
  <c r="AC7" i="10"/>
  <c r="AN25" i="10"/>
  <c r="Z31" i="10"/>
  <c r="X35" i="10"/>
  <c r="AC6" i="10"/>
  <c r="Z33" i="10"/>
  <c r="Z32" i="10"/>
  <c r="U35" i="10"/>
  <c r="T65" i="10"/>
  <c r="Z29" i="10"/>
  <c r="AC9" i="10"/>
  <c r="AC8" i="10"/>
  <c r="V6" i="10"/>
  <c r="W6" i="10" s="1"/>
  <c r="AM25" i="10"/>
  <c r="AM20" i="10"/>
  <c r="AC79" i="10" s="1"/>
  <c r="AM24" i="10"/>
  <c r="AG79" i="10" s="1"/>
  <c r="AJ26" i="10"/>
  <c r="AK26" i="10"/>
  <c r="AF26" i="10"/>
  <c r="AM19" i="10"/>
  <c r="AM21" i="10"/>
  <c r="AD79" i="10" s="1"/>
  <c r="AI26" i="10"/>
  <c r="AE26" i="10"/>
  <c r="AE29" i="10" s="1"/>
  <c r="AH26" i="10"/>
  <c r="AG26" i="10"/>
  <c r="AM8" i="10"/>
  <c r="AM5" i="10"/>
  <c r="AG11" i="10"/>
  <c r="AM10" i="10"/>
  <c r="AI11" i="10"/>
  <c r="AM9" i="10"/>
  <c r="AH11" i="10"/>
  <c r="AM6" i="10"/>
  <c r="AN10" i="10"/>
  <c r="AM4" i="10"/>
  <c r="AM7" i="10"/>
  <c r="AF11" i="10"/>
  <c r="AL11" i="10"/>
  <c r="AK11" i="10"/>
  <c r="AJ11" i="10"/>
  <c r="AE11" i="10"/>
  <c r="AE13" i="10" s="1"/>
  <c r="AL27" i="10"/>
  <c r="AL26" i="10"/>
  <c r="AA21" i="10"/>
  <c r="AB21" i="10"/>
  <c r="V9" i="10"/>
  <c r="W9" i="10" s="1"/>
  <c r="V5" i="10"/>
  <c r="V8" i="10"/>
  <c r="W8" i="10" s="1"/>
  <c r="V4" i="10"/>
  <c r="Y21" i="10"/>
  <c r="V7" i="10"/>
  <c r="W7" i="10" s="1"/>
  <c r="B9" i="12" l="1"/>
  <c r="B8" i="12" s="1"/>
  <c r="A52" i="12"/>
  <c r="C57" i="9"/>
  <c r="I107" i="9"/>
  <c r="I109" i="9"/>
  <c r="T67" i="10"/>
  <c r="T99" i="10"/>
  <c r="U99" i="10" s="1"/>
  <c r="W99" i="10" s="1"/>
  <c r="AB79" i="10"/>
  <c r="AI79" i="10" s="1"/>
  <c r="AM29" i="10"/>
  <c r="T66" i="10"/>
  <c r="I108" i="9"/>
  <c r="T98" i="10"/>
  <c r="U98" i="10" s="1"/>
  <c r="W98" i="10" s="1"/>
  <c r="T95" i="10"/>
  <c r="T63" i="10"/>
  <c r="U63" i="10" s="1"/>
  <c r="T64" i="10"/>
  <c r="T96" i="10"/>
  <c r="U96" i="10" s="1"/>
  <c r="W96" i="10" s="1"/>
  <c r="I106" i="9"/>
  <c r="H57" i="9"/>
  <c r="T68" i="10"/>
  <c r="T100" i="10"/>
  <c r="U100" i="10" s="1"/>
  <c r="W100" i="10" s="1"/>
  <c r="I110" i="9"/>
  <c r="W5" i="10"/>
  <c r="AA10" i="10"/>
  <c r="AF13" i="10"/>
  <c r="AG13" i="10" s="1"/>
  <c r="AH13" i="10" s="1"/>
  <c r="AI13" i="10" s="1"/>
  <c r="AJ13" i="10" s="1"/>
  <c r="AK13" i="10" s="1"/>
  <c r="AF29" i="10"/>
  <c r="AB22" i="10"/>
  <c r="Z15" i="10"/>
  <c r="AA22" i="10"/>
  <c r="V10" i="10"/>
  <c r="Y22" i="10"/>
  <c r="Z21" i="10"/>
  <c r="V22" i="10"/>
  <c r="W22" i="10"/>
  <c r="X22" i="10"/>
  <c r="Z17" i="10"/>
  <c r="U65" i="10" s="1"/>
  <c r="W65" i="10" s="1"/>
  <c r="Z18" i="10"/>
  <c r="U22" i="10"/>
  <c r="Z16" i="10"/>
  <c r="T22" i="10"/>
  <c r="Z19" i="10"/>
  <c r="U67" i="10" s="1"/>
  <c r="W67" i="10" s="1"/>
  <c r="Z20" i="10"/>
  <c r="U64" i="10" l="1"/>
  <c r="W64" i="10" s="1"/>
  <c r="C42" i="11"/>
  <c r="G56" i="11"/>
  <c r="K56" i="11"/>
  <c r="J56" i="11"/>
  <c r="I56" i="11"/>
  <c r="H56" i="11"/>
  <c r="C56" i="11"/>
  <c r="F56" i="11"/>
  <c r="E56" i="11"/>
  <c r="D56" i="11"/>
  <c r="B56" i="11"/>
  <c r="U68" i="10"/>
  <c r="W68" i="10" s="1"/>
  <c r="B111" i="9"/>
  <c r="I105" i="9"/>
  <c r="I111" i="9" s="1"/>
  <c r="U66" i="10"/>
  <c r="W66" i="10" s="1"/>
  <c r="U95" i="10"/>
  <c r="W95" i="10" s="1"/>
  <c r="W101" i="10" s="1"/>
  <c r="T101" i="10"/>
  <c r="T69" i="10"/>
  <c r="W63" i="10"/>
  <c r="AG29" i="10"/>
  <c r="AH29" i="10" s="1"/>
  <c r="AI29" i="10" s="1"/>
  <c r="AJ29" i="10" s="1"/>
  <c r="AK29" i="10" s="1"/>
  <c r="I112" i="9" l="1"/>
  <c r="E124" i="9"/>
  <c r="D81" i="11"/>
  <c r="H81" i="11"/>
  <c r="J81" i="11"/>
  <c r="I81" i="11"/>
  <c r="F81" i="11"/>
  <c r="K81" i="11"/>
  <c r="E81" i="11"/>
  <c r="G81" i="11"/>
  <c r="C43" i="11"/>
  <c r="C40" i="11"/>
  <c r="C45" i="11"/>
  <c r="C41" i="11"/>
  <c r="C44" i="11"/>
  <c r="W69" i="10"/>
  <c r="Y65" i="10" s="1"/>
  <c r="AB95" i="10"/>
  <c r="AB98" i="10" s="1"/>
  <c r="AD95" i="10"/>
  <c r="AD98" i="10" s="1"/>
  <c r="AC95" i="10"/>
  <c r="AC98" i="10" s="1"/>
  <c r="AA95" i="10"/>
  <c r="AA98" i="10" s="1"/>
  <c r="AE95" i="10"/>
  <c r="AE98" i="10" s="1"/>
  <c r="AF95" i="10"/>
  <c r="AF98" i="10" s="1"/>
  <c r="I122" i="9" l="1"/>
  <c r="I125" i="9" s="1"/>
  <c r="I126" i="9" s="1"/>
  <c r="B125" i="9"/>
  <c r="B126" i="9" s="1"/>
  <c r="G112" i="9"/>
  <c r="E122" i="9"/>
  <c r="C122" i="9"/>
  <c r="C125" i="9" s="1"/>
  <c r="C126" i="9" s="1"/>
  <c r="E123" i="9"/>
  <c r="G123" i="9"/>
  <c r="H123" i="9"/>
  <c r="F123" i="9"/>
  <c r="D123" i="9"/>
  <c r="D122" i="9"/>
  <c r="H122" i="9"/>
  <c r="F122" i="9"/>
  <c r="G122" i="9"/>
  <c r="H124" i="9"/>
  <c r="F124" i="9"/>
  <c r="G124" i="9"/>
  <c r="AC65" i="10"/>
  <c r="AB65" i="10"/>
  <c r="Z65" i="10"/>
  <c r="AA65" i="10"/>
  <c r="AF104" i="10"/>
  <c r="AF102" i="10"/>
  <c r="AF105" i="10"/>
  <c r="AF103" i="10"/>
  <c r="AF106" i="10"/>
  <c r="AC102" i="10"/>
  <c r="AC103" i="10"/>
  <c r="AE104" i="10"/>
  <c r="AE105" i="10"/>
  <c r="AE103" i="10"/>
  <c r="AE102" i="10"/>
  <c r="AD102" i="10"/>
  <c r="AD104" i="10"/>
  <c r="AD103" i="10"/>
  <c r="AB102" i="10"/>
  <c r="AB107" i="10" s="1"/>
  <c r="I133" i="9" l="1"/>
  <c r="I132" i="9"/>
  <c r="G125" i="9"/>
  <c r="G126" i="9" s="1"/>
  <c r="I136" i="9" s="1"/>
  <c r="F125" i="9"/>
  <c r="F126" i="9" s="1"/>
  <c r="I135" i="9" s="1"/>
  <c r="H125" i="9"/>
  <c r="H126" i="9" s="1"/>
  <c r="I137" i="9" s="1"/>
  <c r="D125" i="9"/>
  <c r="D126" i="9" s="1"/>
  <c r="I134" i="9" s="1"/>
  <c r="E125" i="9"/>
  <c r="E126" i="9" s="1"/>
  <c r="AC107" i="10"/>
  <c r="AD107" i="10"/>
  <c r="AE107" i="10"/>
  <c r="AF107" i="10"/>
  <c r="I138" i="9" l="1"/>
  <c r="E133" i="9"/>
  <c r="E134" i="9"/>
  <c r="D133" i="9"/>
  <c r="F134" i="9"/>
  <c r="F133" i="9"/>
  <c r="H134" i="9"/>
  <c r="H133" i="9"/>
  <c r="H136" i="9"/>
  <c r="H135" i="9"/>
  <c r="G135" i="9"/>
  <c r="G134" i="9"/>
  <c r="G133" i="9"/>
  <c r="C132" i="9" l="1"/>
  <c r="C138" i="9" s="1"/>
  <c r="H132" i="9"/>
  <c r="H138" i="9" s="1"/>
  <c r="D132" i="9"/>
  <c r="D138" i="9" s="1"/>
  <c r="E132" i="9"/>
  <c r="E138" i="9" s="1"/>
  <c r="G132" i="9"/>
  <c r="G138" i="9" s="1"/>
  <c r="F132" i="9"/>
  <c r="F138" i="9" s="1"/>
  <c r="E34" i="4" l="1"/>
  <c r="F34" i="4" s="1"/>
  <c r="E33" i="4"/>
  <c r="E32" i="4"/>
  <c r="L34" i="4" l="1"/>
  <c r="P34" i="4"/>
  <c r="R34" i="4"/>
  <c r="N31" i="4"/>
  <c r="F32" i="4"/>
  <c r="D32" i="4"/>
  <c r="F33" i="4"/>
  <c r="D33" i="4"/>
  <c r="D34" i="4"/>
  <c r="R33" i="4" l="1"/>
  <c r="L33" i="4"/>
  <c r="G33" i="4"/>
  <c r="H33" i="4" s="1"/>
  <c r="P33" i="4"/>
  <c r="G34" i="4"/>
  <c r="H34" i="4" s="1"/>
  <c r="R32" i="4"/>
  <c r="L32" i="4"/>
  <c r="G32" i="4"/>
  <c r="H32" i="4" s="1"/>
  <c r="I34" i="4"/>
  <c r="J34" i="4" s="1"/>
  <c r="I33" i="4"/>
  <c r="J33" i="4" s="1"/>
  <c r="P32" i="4"/>
  <c r="I32" i="4"/>
  <c r="J32" i="4" s="1"/>
  <c r="F35" i="4"/>
  <c r="N33" i="4"/>
  <c r="N32" i="4"/>
  <c r="N34" i="4"/>
  <c r="L35" i="4" l="1"/>
  <c r="L36" i="4" s="1"/>
  <c r="R35" i="4"/>
  <c r="R36" i="4" s="1"/>
  <c r="I56" i="4" s="1"/>
  <c r="H35" i="4"/>
  <c r="P35" i="4"/>
  <c r="P36" i="4" s="1"/>
  <c r="J35" i="4"/>
  <c r="J36" i="4" s="1"/>
  <c r="D56" i="4" s="1"/>
  <c r="N35" i="4"/>
  <c r="N36" i="4" l="1"/>
  <c r="G56" i="4" s="1"/>
  <c r="G60" i="4" s="1"/>
  <c r="G61" i="4" s="1"/>
  <c r="G67" i="4" s="1"/>
  <c r="H36" i="4"/>
  <c r="C56" i="4" s="1"/>
  <c r="C60" i="4" s="1"/>
  <c r="D60" i="4"/>
  <c r="I61" i="4" l="1"/>
  <c r="F56" i="4"/>
  <c r="F60" i="4" s="1"/>
  <c r="E56" i="4"/>
  <c r="E60" i="4" s="1"/>
  <c r="D61" i="4"/>
  <c r="D67" i="4" s="1"/>
  <c r="C61" i="4"/>
  <c r="C67" i="4" s="1"/>
  <c r="H56" i="4"/>
  <c r="H60" i="4" s="1"/>
  <c r="G69" i="4"/>
  <c r="G72" i="4" s="1"/>
  <c r="D44" i="11" s="1"/>
  <c r="K158" i="11" s="1"/>
  <c r="J158" i="11" s="1"/>
  <c r="I158" i="11" s="1"/>
  <c r="H158" i="11" s="1"/>
  <c r="G158" i="11" s="1"/>
  <c r="F158" i="11" s="1"/>
  <c r="E158" i="11" s="1"/>
  <c r="D158" i="11" s="1"/>
  <c r="C158" i="11" s="1"/>
  <c r="B158" i="11" s="1"/>
  <c r="I67" i="4" l="1"/>
  <c r="I69" i="4" s="1"/>
  <c r="E61" i="4"/>
  <c r="G70" i="4"/>
  <c r="G49" i="9"/>
  <c r="G50" i="9" s="1"/>
  <c r="G15" i="9" s="1"/>
  <c r="G16" i="9" s="1"/>
  <c r="H61" i="4"/>
  <c r="H67" i="4" s="1"/>
  <c r="H69" i="4" s="1"/>
  <c r="H72" i="4" s="1"/>
  <c r="D45" i="11" s="1"/>
  <c r="K174" i="11" s="1"/>
  <c r="J174" i="11" s="1"/>
  <c r="I174" i="11" s="1"/>
  <c r="H174" i="11" s="1"/>
  <c r="G174" i="11" s="1"/>
  <c r="F174" i="11" s="1"/>
  <c r="E174" i="11" s="1"/>
  <c r="D174" i="11" s="1"/>
  <c r="C174" i="11" s="1"/>
  <c r="B174" i="11" s="1"/>
  <c r="C69" i="4"/>
  <c r="C72" i="4" s="1"/>
  <c r="F61" i="4"/>
  <c r="F67" i="4" s="1"/>
  <c r="B46" i="11" l="1"/>
  <c r="I72" i="4"/>
  <c r="D46" i="11" s="1"/>
  <c r="K190" i="11" s="1"/>
  <c r="J190" i="11" s="1"/>
  <c r="I190" i="11" s="1"/>
  <c r="H190" i="11" s="1"/>
  <c r="G190" i="11" s="1"/>
  <c r="F190" i="11" s="1"/>
  <c r="E190" i="11" s="1"/>
  <c r="D190" i="11" s="1"/>
  <c r="C190" i="11" s="1"/>
  <c r="B190" i="11" s="1"/>
  <c r="I70" i="4"/>
  <c r="I49" i="9"/>
  <c r="I50" i="9" s="1"/>
  <c r="I15" i="9" s="1"/>
  <c r="I16" i="9" s="1"/>
  <c r="G150" i="9" s="1"/>
  <c r="G219" i="11" s="1"/>
  <c r="G230" i="11" s="1"/>
  <c r="C49" i="9"/>
  <c r="C50" i="9" s="1"/>
  <c r="C15" i="9" s="1"/>
  <c r="C16" i="9" s="1"/>
  <c r="I144" i="9" s="1"/>
  <c r="I213" i="11" s="1"/>
  <c r="I224" i="11" s="1"/>
  <c r="D40" i="11"/>
  <c r="K94" i="11" s="1"/>
  <c r="J94" i="11" s="1"/>
  <c r="I94" i="11" s="1"/>
  <c r="H94" i="11" s="1"/>
  <c r="G94" i="11" s="1"/>
  <c r="F94" i="11" s="1"/>
  <c r="E94" i="11" s="1"/>
  <c r="D94" i="11" s="1"/>
  <c r="C94" i="11" s="1"/>
  <c r="B94" i="11" s="1"/>
  <c r="G148" i="9"/>
  <c r="G217" i="11" s="1"/>
  <c r="G228" i="11" s="1"/>
  <c r="H148" i="9"/>
  <c r="H217" i="11" s="1"/>
  <c r="H228" i="11" s="1"/>
  <c r="I148" i="9"/>
  <c r="I217" i="11" s="1"/>
  <c r="I228" i="11" s="1"/>
  <c r="F148" i="9"/>
  <c r="F217" i="11" s="1"/>
  <c r="F228" i="11" s="1"/>
  <c r="B148" i="9"/>
  <c r="B217" i="11" s="1"/>
  <c r="C148" i="9"/>
  <c r="C217" i="11" s="1"/>
  <c r="C228" i="11" s="1"/>
  <c r="K148" i="9"/>
  <c r="K217" i="11" s="1"/>
  <c r="K228" i="11" s="1"/>
  <c r="D148" i="9"/>
  <c r="D217" i="11" s="1"/>
  <c r="D228" i="11" s="1"/>
  <c r="E148" i="9"/>
  <c r="E217" i="11" s="1"/>
  <c r="E228" i="11" s="1"/>
  <c r="J148" i="9"/>
  <c r="J217" i="11" s="1"/>
  <c r="J228" i="11" s="1"/>
  <c r="E67" i="4"/>
  <c r="E69" i="4" s="1"/>
  <c r="E72" i="4" s="1"/>
  <c r="D42" i="11" s="1"/>
  <c r="K126" i="11" s="1"/>
  <c r="J126" i="11" s="1"/>
  <c r="I126" i="11" s="1"/>
  <c r="H126" i="11" s="1"/>
  <c r="G126" i="11" s="1"/>
  <c r="F126" i="11" s="1"/>
  <c r="E126" i="11" s="1"/>
  <c r="D126" i="11" s="1"/>
  <c r="C126" i="11" s="1"/>
  <c r="B126" i="11" s="1"/>
  <c r="H70" i="4"/>
  <c r="H49" i="9"/>
  <c r="H50" i="9" s="1"/>
  <c r="H15" i="9" s="1"/>
  <c r="H16" i="9" s="1"/>
  <c r="C70" i="4"/>
  <c r="B40" i="11"/>
  <c r="F69" i="4"/>
  <c r="D69" i="4"/>
  <c r="B44" i="11"/>
  <c r="B161" i="11" s="1"/>
  <c r="B45" i="11"/>
  <c r="B177" i="11" s="1"/>
  <c r="B193" i="11" l="1"/>
  <c r="C194" i="11" s="1"/>
  <c r="G193" i="11"/>
  <c r="D193" i="11"/>
  <c r="K193" i="11"/>
  <c r="J193" i="11"/>
  <c r="J150" i="9"/>
  <c r="J219" i="11" s="1"/>
  <c r="J230" i="11" s="1"/>
  <c r="F193" i="11"/>
  <c r="E193" i="11"/>
  <c r="C193" i="11"/>
  <c r="C150" i="9"/>
  <c r="C219" i="11" s="1"/>
  <c r="C230" i="11" s="1"/>
  <c r="K150" i="9"/>
  <c r="K219" i="11" s="1"/>
  <c r="K230" i="11" s="1"/>
  <c r="G46" i="11"/>
  <c r="D150" i="9"/>
  <c r="D219" i="11" s="1"/>
  <c r="D230" i="11" s="1"/>
  <c r="B150" i="9"/>
  <c r="B219" i="11" s="1"/>
  <c r="B230" i="11" s="1"/>
  <c r="I193" i="11"/>
  <c r="H150" i="9"/>
  <c r="H219" i="11" s="1"/>
  <c r="H230" i="11" s="1"/>
  <c r="F150" i="9"/>
  <c r="F219" i="11" s="1"/>
  <c r="F230" i="11" s="1"/>
  <c r="E150" i="9"/>
  <c r="E219" i="11" s="1"/>
  <c r="E230" i="11" s="1"/>
  <c r="I150" i="9"/>
  <c r="I219" i="11" s="1"/>
  <c r="I230" i="11" s="1"/>
  <c r="H193" i="11"/>
  <c r="F144" i="9"/>
  <c r="F213" i="11" s="1"/>
  <c r="F224" i="11" s="1"/>
  <c r="E144" i="9"/>
  <c r="E213" i="11" s="1"/>
  <c r="E224" i="11" s="1"/>
  <c r="D49" i="9"/>
  <c r="D50" i="9" s="1"/>
  <c r="D15" i="9" s="1"/>
  <c r="D16" i="9" s="1"/>
  <c r="B145" i="9" s="1"/>
  <c r="D72" i="4"/>
  <c r="D41" i="11" s="1"/>
  <c r="K110" i="11" s="1"/>
  <c r="J110" i="11" s="1"/>
  <c r="I110" i="11" s="1"/>
  <c r="H110" i="11" s="1"/>
  <c r="G110" i="11" s="1"/>
  <c r="F110" i="11" s="1"/>
  <c r="E110" i="11" s="1"/>
  <c r="D110" i="11" s="1"/>
  <c r="C110" i="11" s="1"/>
  <c r="B110" i="11" s="1"/>
  <c r="D144" i="9"/>
  <c r="D213" i="11" s="1"/>
  <c r="D224" i="11" s="1"/>
  <c r="H144" i="9"/>
  <c r="H213" i="11" s="1"/>
  <c r="H224" i="11" s="1"/>
  <c r="J144" i="9"/>
  <c r="J213" i="11" s="1"/>
  <c r="J224" i="11" s="1"/>
  <c r="B144" i="9"/>
  <c r="B213" i="11" s="1"/>
  <c r="B224" i="11" s="1"/>
  <c r="G144" i="9"/>
  <c r="G213" i="11" s="1"/>
  <c r="G224" i="11" s="1"/>
  <c r="F49" i="9"/>
  <c r="F50" i="9" s="1"/>
  <c r="F15" i="9" s="1"/>
  <c r="F16" i="9" s="1"/>
  <c r="G147" i="9" s="1"/>
  <c r="G216" i="11" s="1"/>
  <c r="G227" i="11" s="1"/>
  <c r="F72" i="4"/>
  <c r="D43" i="11" s="1"/>
  <c r="K142" i="11" s="1"/>
  <c r="J142" i="11" s="1"/>
  <c r="I142" i="11" s="1"/>
  <c r="H142" i="11" s="1"/>
  <c r="G142" i="11" s="1"/>
  <c r="B97" i="11"/>
  <c r="B107" i="11" s="1"/>
  <c r="B108" i="11" s="1"/>
  <c r="C144" i="9"/>
  <c r="C213" i="11" s="1"/>
  <c r="C224" i="11" s="1"/>
  <c r="K144" i="9"/>
  <c r="K213" i="11" s="1"/>
  <c r="K224" i="11" s="1"/>
  <c r="M148" i="9"/>
  <c r="K149" i="9"/>
  <c r="K218" i="11" s="1"/>
  <c r="K229" i="11" s="1"/>
  <c r="I149" i="9"/>
  <c r="I218" i="11" s="1"/>
  <c r="I229" i="11" s="1"/>
  <c r="D149" i="9"/>
  <c r="D218" i="11" s="1"/>
  <c r="D229" i="11" s="1"/>
  <c r="J149" i="9"/>
  <c r="J218" i="11" s="1"/>
  <c r="J229" i="11" s="1"/>
  <c r="E149" i="9"/>
  <c r="E218" i="11" s="1"/>
  <c r="E229" i="11" s="1"/>
  <c r="C149" i="9"/>
  <c r="C218" i="11" s="1"/>
  <c r="C229" i="11" s="1"/>
  <c r="B149" i="9"/>
  <c r="G149" i="9"/>
  <c r="G218" i="11" s="1"/>
  <c r="G229" i="11" s="1"/>
  <c r="H149" i="9"/>
  <c r="H218" i="11" s="1"/>
  <c r="H229" i="11" s="1"/>
  <c r="F149" i="9"/>
  <c r="F218" i="11" s="1"/>
  <c r="F229" i="11" s="1"/>
  <c r="E49" i="9"/>
  <c r="E50" i="9" s="1"/>
  <c r="E15" i="9" s="1"/>
  <c r="E70" i="4"/>
  <c r="B42" i="11"/>
  <c r="G40" i="11"/>
  <c r="C97" i="11"/>
  <c r="D98" i="11" s="1"/>
  <c r="E99" i="11" s="1"/>
  <c r="F100" i="11" s="1"/>
  <c r="G101" i="11" s="1"/>
  <c r="H102" i="11" s="1"/>
  <c r="I103" i="11" s="1"/>
  <c r="J104" i="11" s="1"/>
  <c r="K105" i="11" s="1"/>
  <c r="B228" i="11"/>
  <c r="L228" i="11" s="1"/>
  <c r="D246" i="11" s="1"/>
  <c r="G10" i="12" s="1"/>
  <c r="L217" i="11"/>
  <c r="J97" i="11"/>
  <c r="K98" i="11" s="1"/>
  <c r="I97" i="11"/>
  <c r="J98" i="11" s="1"/>
  <c r="K99" i="11" s="1"/>
  <c r="D97" i="11"/>
  <c r="E98" i="11" s="1"/>
  <c r="F99" i="11" s="1"/>
  <c r="G100" i="11" s="1"/>
  <c r="H101" i="11" s="1"/>
  <c r="I102" i="11" s="1"/>
  <c r="J103" i="11" s="1"/>
  <c r="K104" i="11" s="1"/>
  <c r="H97" i="11"/>
  <c r="I98" i="11" s="1"/>
  <c r="J99" i="11" s="1"/>
  <c r="K100" i="11" s="1"/>
  <c r="G97" i="11"/>
  <c r="H98" i="11" s="1"/>
  <c r="I99" i="11" s="1"/>
  <c r="J100" i="11" s="1"/>
  <c r="K101" i="11" s="1"/>
  <c r="K97" i="11"/>
  <c r="F97" i="11"/>
  <c r="G98" i="11" s="1"/>
  <c r="H99" i="11" s="1"/>
  <c r="E97" i="11"/>
  <c r="F98" i="11" s="1"/>
  <c r="G99" i="11" s="1"/>
  <c r="H100" i="11" s="1"/>
  <c r="I101" i="11" s="1"/>
  <c r="J102" i="11" s="1"/>
  <c r="K103" i="11" s="1"/>
  <c r="G177" i="11"/>
  <c r="H178" i="11" s="1"/>
  <c r="I179" i="11" s="1"/>
  <c r="J180" i="11" s="1"/>
  <c r="K181" i="11" s="1"/>
  <c r="F177" i="11"/>
  <c r="G178" i="11" s="1"/>
  <c r="H179" i="11" s="1"/>
  <c r="I180" i="11" s="1"/>
  <c r="J181" i="11" s="1"/>
  <c r="K182" i="11" s="1"/>
  <c r="H177" i="11"/>
  <c r="I178" i="11" s="1"/>
  <c r="J179" i="11" s="1"/>
  <c r="K180" i="11" s="1"/>
  <c r="I177" i="11"/>
  <c r="J178" i="11" s="1"/>
  <c r="K179" i="11" s="1"/>
  <c r="E177" i="11"/>
  <c r="F178" i="11" s="1"/>
  <c r="G179" i="11" s="1"/>
  <c r="H180" i="11" s="1"/>
  <c r="I181" i="11" s="1"/>
  <c r="J182" i="11" s="1"/>
  <c r="K183" i="11" s="1"/>
  <c r="D177" i="11"/>
  <c r="E178" i="11" s="1"/>
  <c r="F179" i="11" s="1"/>
  <c r="G180" i="11" s="1"/>
  <c r="H181" i="11" s="1"/>
  <c r="I182" i="11" s="1"/>
  <c r="J183" i="11" s="1"/>
  <c r="K184" i="11" s="1"/>
  <c r="K177" i="11"/>
  <c r="C177" i="11"/>
  <c r="J177" i="11"/>
  <c r="K178" i="11" s="1"/>
  <c r="I161" i="11"/>
  <c r="C161" i="11"/>
  <c r="H161" i="11"/>
  <c r="F161" i="11"/>
  <c r="G161" i="11"/>
  <c r="J161" i="11"/>
  <c r="E161" i="11"/>
  <c r="D161" i="11"/>
  <c r="E162" i="11" s="1"/>
  <c r="F163" i="11" s="1"/>
  <c r="G164" i="11" s="1"/>
  <c r="H165" i="11" s="1"/>
  <c r="I166" i="11" s="1"/>
  <c r="J167" i="11" s="1"/>
  <c r="K168" i="11" s="1"/>
  <c r="K161" i="11"/>
  <c r="B41" i="11"/>
  <c r="D70" i="4"/>
  <c r="B43" i="11"/>
  <c r="F70" i="4"/>
  <c r="G44" i="11"/>
  <c r="G45" i="11"/>
  <c r="F145" i="9" l="1"/>
  <c r="F214" i="11" s="1"/>
  <c r="F225" i="11" s="1"/>
  <c r="L230" i="11"/>
  <c r="D248" i="11" s="1"/>
  <c r="I10" i="12" s="1"/>
  <c r="L219" i="11"/>
  <c r="M150" i="9"/>
  <c r="G145" i="9"/>
  <c r="G214" i="11" s="1"/>
  <c r="G225" i="11" s="1"/>
  <c r="B147" i="9"/>
  <c r="B216" i="11" s="1"/>
  <c r="D145" i="9"/>
  <c r="D214" i="11" s="1"/>
  <c r="D225" i="11" s="1"/>
  <c r="C145" i="9"/>
  <c r="C214" i="11" s="1"/>
  <c r="C225" i="11" s="1"/>
  <c r="J145" i="9"/>
  <c r="J214" i="11" s="1"/>
  <c r="J225" i="11" s="1"/>
  <c r="I145" i="9"/>
  <c r="I214" i="11" s="1"/>
  <c r="I225" i="11" s="1"/>
  <c r="H145" i="9"/>
  <c r="H214" i="11" s="1"/>
  <c r="H225" i="11" s="1"/>
  <c r="B113" i="11"/>
  <c r="B123" i="11" s="1"/>
  <c r="K145" i="9"/>
  <c r="K214" i="11" s="1"/>
  <c r="K225" i="11" s="1"/>
  <c r="M144" i="9"/>
  <c r="F147" i="9"/>
  <c r="F216" i="11" s="1"/>
  <c r="F227" i="11" s="1"/>
  <c r="J147" i="9"/>
  <c r="J216" i="11" s="1"/>
  <c r="J227" i="11" s="1"/>
  <c r="L213" i="11"/>
  <c r="I147" i="9"/>
  <c r="I216" i="11" s="1"/>
  <c r="I227" i="11" s="1"/>
  <c r="K147" i="9"/>
  <c r="K216" i="11" s="1"/>
  <c r="K227" i="11" s="1"/>
  <c r="C147" i="9"/>
  <c r="C216" i="11" s="1"/>
  <c r="C227" i="11" s="1"/>
  <c r="E145" i="9"/>
  <c r="E214" i="11" s="1"/>
  <c r="E225" i="11" s="1"/>
  <c r="L224" i="11"/>
  <c r="D242" i="11" s="1"/>
  <c r="C10" i="12" s="1"/>
  <c r="C9" i="12" s="1"/>
  <c r="C8" i="12" s="1"/>
  <c r="D147" i="9"/>
  <c r="D216" i="11" s="1"/>
  <c r="D227" i="11" s="1"/>
  <c r="E147" i="9"/>
  <c r="E216" i="11" s="1"/>
  <c r="E227" i="11" s="1"/>
  <c r="H147" i="9"/>
  <c r="H216" i="11" s="1"/>
  <c r="H227" i="11" s="1"/>
  <c r="B214" i="11"/>
  <c r="B225" i="11" s="1"/>
  <c r="B218" i="11"/>
  <c r="B229" i="11" s="1"/>
  <c r="L229" i="11" s="1"/>
  <c r="D247" i="11" s="1"/>
  <c r="H10" i="12" s="1"/>
  <c r="M149" i="9"/>
  <c r="G9" i="12"/>
  <c r="G8" i="12" s="1"/>
  <c r="F129" i="11"/>
  <c r="E129" i="11"/>
  <c r="D129" i="11"/>
  <c r="C129" i="11"/>
  <c r="J129" i="11"/>
  <c r="K130" i="11" s="1"/>
  <c r="B129" i="11"/>
  <c r="I129" i="11"/>
  <c r="J130" i="11" s="1"/>
  <c r="K131" i="11" s="1"/>
  <c r="H129" i="11"/>
  <c r="I130" i="11" s="1"/>
  <c r="G129" i="11"/>
  <c r="K129" i="11"/>
  <c r="B203" i="11"/>
  <c r="L193" i="11"/>
  <c r="K194" i="11"/>
  <c r="D194" i="11"/>
  <c r="E195" i="11" s="1"/>
  <c r="F196" i="11" s="1"/>
  <c r="G197" i="11" s="1"/>
  <c r="H198" i="11" s="1"/>
  <c r="I199" i="11" s="1"/>
  <c r="J200" i="11" s="1"/>
  <c r="K201" i="11" s="1"/>
  <c r="C203" i="11"/>
  <c r="C204" i="11" s="1"/>
  <c r="I194" i="11"/>
  <c r="J195" i="11" s="1"/>
  <c r="K196" i="11" s="1"/>
  <c r="G194" i="11"/>
  <c r="H195" i="11" s="1"/>
  <c r="I196" i="11" s="1"/>
  <c r="J197" i="11" s="1"/>
  <c r="K198" i="11" s="1"/>
  <c r="E194" i="11"/>
  <c r="F195" i="11" s="1"/>
  <c r="G196" i="11" s="1"/>
  <c r="H197" i="11" s="1"/>
  <c r="I198" i="11" s="1"/>
  <c r="J199" i="11" s="1"/>
  <c r="K200" i="11" s="1"/>
  <c r="J194" i="11"/>
  <c r="K195" i="11" s="1"/>
  <c r="H194" i="11"/>
  <c r="I195" i="11" s="1"/>
  <c r="J196" i="11" s="1"/>
  <c r="K197" i="11" s="1"/>
  <c r="F194" i="11"/>
  <c r="G195" i="11" s="1"/>
  <c r="H196" i="11" s="1"/>
  <c r="I197" i="11" s="1"/>
  <c r="J198" i="11" s="1"/>
  <c r="K199" i="11" s="1"/>
  <c r="E16" i="9"/>
  <c r="G42" i="11"/>
  <c r="F142" i="11"/>
  <c r="F145" i="11" s="1"/>
  <c r="G146" i="11" s="1"/>
  <c r="H147" i="11" s="1"/>
  <c r="I148" i="11" s="1"/>
  <c r="J149" i="11" s="1"/>
  <c r="K150" i="11" s="1"/>
  <c r="I113" i="11"/>
  <c r="J114" i="11" s="1"/>
  <c r="K115" i="11" s="1"/>
  <c r="E113" i="11"/>
  <c r="F114" i="11" s="1"/>
  <c r="G115" i="11" s="1"/>
  <c r="H116" i="11" s="1"/>
  <c r="I117" i="11" s="1"/>
  <c r="J118" i="11" s="1"/>
  <c r="K119" i="11" s="1"/>
  <c r="D113" i="11"/>
  <c r="E114" i="11" s="1"/>
  <c r="F115" i="11" s="1"/>
  <c r="G116" i="11" s="1"/>
  <c r="H117" i="11" s="1"/>
  <c r="I118" i="11" s="1"/>
  <c r="J119" i="11" s="1"/>
  <c r="K120" i="11" s="1"/>
  <c r="H113" i="11"/>
  <c r="G113" i="11"/>
  <c r="H114" i="11" s="1"/>
  <c r="I115" i="11" s="1"/>
  <c r="J116" i="11" s="1"/>
  <c r="K117" i="11" s="1"/>
  <c r="F113" i="11"/>
  <c r="G114" i="11" s="1"/>
  <c r="H115" i="11" s="1"/>
  <c r="I116" i="11" s="1"/>
  <c r="J117" i="11" s="1"/>
  <c r="K118" i="11" s="1"/>
  <c r="K113" i="11"/>
  <c r="C113" i="11"/>
  <c r="D114" i="11" s="1"/>
  <c r="E115" i="11" s="1"/>
  <c r="F116" i="11" s="1"/>
  <c r="G117" i="11" s="1"/>
  <c r="H118" i="11" s="1"/>
  <c r="I119" i="11" s="1"/>
  <c r="J120" i="11" s="1"/>
  <c r="K121" i="11" s="1"/>
  <c r="J113" i="11"/>
  <c r="K114" i="11" s="1"/>
  <c r="J145" i="11"/>
  <c r="K146" i="11" s="1"/>
  <c r="I145" i="11"/>
  <c r="J146" i="11" s="1"/>
  <c r="K147" i="11" s="1"/>
  <c r="H145" i="11"/>
  <c r="I146" i="11" s="1"/>
  <c r="J147" i="11" s="1"/>
  <c r="K148" i="11" s="1"/>
  <c r="G145" i="11"/>
  <c r="H146" i="11" s="1"/>
  <c r="I147" i="11" s="1"/>
  <c r="J148" i="11" s="1"/>
  <c r="K149" i="11" s="1"/>
  <c r="K145" i="11"/>
  <c r="G41" i="11"/>
  <c r="G43" i="11"/>
  <c r="C98" i="11"/>
  <c r="L98" i="11" s="1"/>
  <c r="L97" i="11"/>
  <c r="I100" i="11"/>
  <c r="D162" i="11"/>
  <c r="E163" i="11" s="1"/>
  <c r="F164" i="11" s="1"/>
  <c r="G165" i="11" s="1"/>
  <c r="H166" i="11" s="1"/>
  <c r="I167" i="11" s="1"/>
  <c r="J168" i="11" s="1"/>
  <c r="K169" i="11" s="1"/>
  <c r="J162" i="11"/>
  <c r="K163" i="11" s="1"/>
  <c r="K162" i="11"/>
  <c r="I162" i="11"/>
  <c r="J163" i="11" s="1"/>
  <c r="K164" i="11" s="1"/>
  <c r="C162" i="11"/>
  <c r="B171" i="11"/>
  <c r="L161" i="11"/>
  <c r="F162" i="11"/>
  <c r="G163" i="11" s="1"/>
  <c r="H164" i="11" s="1"/>
  <c r="I165" i="11" s="1"/>
  <c r="J166" i="11" s="1"/>
  <c r="K167" i="11" s="1"/>
  <c r="G162" i="11"/>
  <c r="H163" i="11" s="1"/>
  <c r="I164" i="11" s="1"/>
  <c r="J165" i="11" s="1"/>
  <c r="K166" i="11" s="1"/>
  <c r="H162" i="11"/>
  <c r="I163" i="11" s="1"/>
  <c r="J164" i="11" s="1"/>
  <c r="K165" i="11" s="1"/>
  <c r="L177" i="11"/>
  <c r="D178" i="11"/>
  <c r="B187" i="11"/>
  <c r="C178" i="11"/>
  <c r="I9" i="12" l="1"/>
  <c r="I8" i="12" s="1"/>
  <c r="M147" i="9"/>
  <c r="L216" i="11"/>
  <c r="M145" i="9"/>
  <c r="L225" i="11"/>
  <c r="D243" i="11" s="1"/>
  <c r="D10" i="12" s="1"/>
  <c r="L214" i="11"/>
  <c r="B227" i="11"/>
  <c r="L227" i="11" s="1"/>
  <c r="D245" i="11" s="1"/>
  <c r="F10" i="12" s="1"/>
  <c r="L218" i="11"/>
  <c r="F146" i="9"/>
  <c r="F215" i="11" s="1"/>
  <c r="F226" i="11" s="1"/>
  <c r="B146" i="9"/>
  <c r="J146" i="9"/>
  <c r="J215" i="11" s="1"/>
  <c r="J226" i="11" s="1"/>
  <c r="G146" i="9"/>
  <c r="G215" i="11" s="1"/>
  <c r="G226" i="11" s="1"/>
  <c r="E146" i="9"/>
  <c r="E215" i="11" s="1"/>
  <c r="E226" i="11" s="1"/>
  <c r="D146" i="9"/>
  <c r="D215" i="11" s="1"/>
  <c r="D226" i="11" s="1"/>
  <c r="I146" i="9"/>
  <c r="I215" i="11" s="1"/>
  <c r="I226" i="11" s="1"/>
  <c r="H146" i="9"/>
  <c r="H215" i="11" s="1"/>
  <c r="H226" i="11" s="1"/>
  <c r="K146" i="9"/>
  <c r="K215" i="11" s="1"/>
  <c r="K226" i="11" s="1"/>
  <c r="C146" i="9"/>
  <c r="C215" i="11" s="1"/>
  <c r="C226" i="11" s="1"/>
  <c r="H9" i="12"/>
  <c r="H8" i="12" s="1"/>
  <c r="L194" i="11"/>
  <c r="D195" i="11"/>
  <c r="B204" i="11"/>
  <c r="E142" i="11"/>
  <c r="H130" i="11"/>
  <c r="J131" i="11"/>
  <c r="C114" i="11"/>
  <c r="C123" i="11" s="1"/>
  <c r="C124" i="11" s="1"/>
  <c r="L113" i="11"/>
  <c r="I114" i="11"/>
  <c r="J115" i="11" s="1"/>
  <c r="K116" i="11" s="1"/>
  <c r="D99" i="11"/>
  <c r="E100" i="11" s="1"/>
  <c r="E107" i="11" s="1"/>
  <c r="E108" i="11" s="1"/>
  <c r="C107" i="11"/>
  <c r="C108" i="11" s="1"/>
  <c r="J101" i="11"/>
  <c r="B124" i="11"/>
  <c r="B172" i="11"/>
  <c r="D163" i="11"/>
  <c r="L162" i="11"/>
  <c r="C171" i="11"/>
  <c r="C172" i="11" s="1"/>
  <c r="D179" i="11"/>
  <c r="D187" i="11" s="1"/>
  <c r="D188" i="11" s="1"/>
  <c r="L178" i="11"/>
  <c r="B188" i="11"/>
  <c r="C187" i="11"/>
  <c r="C188" i="11" s="1"/>
  <c r="E179" i="11"/>
  <c r="D9" i="12" l="1"/>
  <c r="D8" i="12" s="1"/>
  <c r="F9" i="12"/>
  <c r="F8" i="12" s="1"/>
  <c r="B215" i="11"/>
  <c r="B226" i="11" s="1"/>
  <c r="L226" i="11" s="1"/>
  <c r="D244" i="11" s="1"/>
  <c r="E10" i="12" s="1"/>
  <c r="M146" i="9"/>
  <c r="L195" i="11"/>
  <c r="E196" i="11"/>
  <c r="D203" i="11"/>
  <c r="K132" i="11"/>
  <c r="I131" i="11"/>
  <c r="G130" i="11"/>
  <c r="D142" i="11"/>
  <c r="E145" i="11"/>
  <c r="F146" i="11" s="1"/>
  <c r="G147" i="11" s="1"/>
  <c r="H148" i="11" s="1"/>
  <c r="I149" i="11" s="1"/>
  <c r="J150" i="11" s="1"/>
  <c r="K151" i="11" s="1"/>
  <c r="D115" i="11"/>
  <c r="D123" i="11" s="1"/>
  <c r="D124" i="11" s="1"/>
  <c r="L114" i="11"/>
  <c r="L99" i="11"/>
  <c r="L100" i="11"/>
  <c r="F101" i="11"/>
  <c r="L101" i="11" s="1"/>
  <c r="D107" i="11"/>
  <c r="D108" i="11" s="1"/>
  <c r="K102" i="11"/>
  <c r="D171" i="11"/>
  <c r="D172" i="11" s="1"/>
  <c r="L163" i="11"/>
  <c r="E164" i="11"/>
  <c r="E180" i="11"/>
  <c r="E187" i="11" s="1"/>
  <c r="E188" i="11" s="1"/>
  <c r="L179" i="11"/>
  <c r="F180" i="11"/>
  <c r="L215" i="11" l="1"/>
  <c r="E9" i="12"/>
  <c r="E8" i="12" s="1"/>
  <c r="D204" i="11"/>
  <c r="F197" i="11"/>
  <c r="L196" i="11"/>
  <c r="E203" i="11"/>
  <c r="E204" i="11" s="1"/>
  <c r="F130" i="11"/>
  <c r="C142" i="11"/>
  <c r="D145" i="11"/>
  <c r="E146" i="11" s="1"/>
  <c r="F147" i="11" s="1"/>
  <c r="G148" i="11" s="1"/>
  <c r="H149" i="11" s="1"/>
  <c r="I150" i="11" s="1"/>
  <c r="J151" i="11" s="1"/>
  <c r="K152" i="11" s="1"/>
  <c r="H131" i="11"/>
  <c r="J132" i="11"/>
  <c r="L115" i="11"/>
  <c r="E116" i="11"/>
  <c r="F117" i="11" s="1"/>
  <c r="G102" i="11"/>
  <c r="L102" i="11" s="1"/>
  <c r="F107" i="11"/>
  <c r="F108" i="11" s="1"/>
  <c r="F165" i="11"/>
  <c r="L164" i="11"/>
  <c r="E171" i="11"/>
  <c r="F181" i="11"/>
  <c r="F187" i="11" s="1"/>
  <c r="F188" i="11" s="1"/>
  <c r="L180" i="11"/>
  <c r="G181" i="11"/>
  <c r="G198" i="11" l="1"/>
  <c r="L197" i="11"/>
  <c r="F203" i="11"/>
  <c r="I132" i="11"/>
  <c r="K133" i="11"/>
  <c r="E130" i="11"/>
  <c r="B142" i="11"/>
  <c r="B145" i="11" s="1"/>
  <c r="C145" i="11"/>
  <c r="D146" i="11" s="1"/>
  <c r="E147" i="11" s="1"/>
  <c r="F148" i="11" s="1"/>
  <c r="G149" i="11" s="1"/>
  <c r="H150" i="11" s="1"/>
  <c r="I151" i="11" s="1"/>
  <c r="J152" i="11" s="1"/>
  <c r="K153" i="11" s="1"/>
  <c r="G131" i="11"/>
  <c r="E123" i="11"/>
  <c r="E124" i="11" s="1"/>
  <c r="L116" i="11"/>
  <c r="H103" i="11"/>
  <c r="L103" i="11" s="1"/>
  <c r="G107" i="11"/>
  <c r="G108" i="11" s="1"/>
  <c r="G118" i="11"/>
  <c r="L117" i="11"/>
  <c r="F123" i="11"/>
  <c r="F124" i="11" s="1"/>
  <c r="E172" i="11"/>
  <c r="G166" i="11"/>
  <c r="L165" i="11"/>
  <c r="F171" i="11"/>
  <c r="F172" i="11" s="1"/>
  <c r="G182" i="11"/>
  <c r="G187" i="11" s="1"/>
  <c r="G188" i="11" s="1"/>
  <c r="L181" i="11"/>
  <c r="H182" i="11"/>
  <c r="F204" i="11" l="1"/>
  <c r="L198" i="11"/>
  <c r="H199" i="11"/>
  <c r="G203" i="11"/>
  <c r="G204" i="11" s="1"/>
  <c r="F131" i="11"/>
  <c r="H132" i="11"/>
  <c r="D130" i="11"/>
  <c r="J133" i="11"/>
  <c r="H107" i="11"/>
  <c r="H108" i="11" s="1"/>
  <c r="I104" i="11"/>
  <c r="J105" i="11" s="1"/>
  <c r="H119" i="11"/>
  <c r="L118" i="11"/>
  <c r="G123" i="11"/>
  <c r="H167" i="11"/>
  <c r="L166" i="11"/>
  <c r="G171" i="11"/>
  <c r="G172" i="11" s="1"/>
  <c r="H183" i="11"/>
  <c r="H187" i="11" s="1"/>
  <c r="L182" i="11"/>
  <c r="I183" i="11"/>
  <c r="I200" i="11" l="1"/>
  <c r="L199" i="11"/>
  <c r="H203" i="11"/>
  <c r="H204" i="11" s="1"/>
  <c r="E131" i="11"/>
  <c r="K134" i="11"/>
  <c r="I133" i="11"/>
  <c r="B155" i="11"/>
  <c r="B156" i="11" s="1"/>
  <c r="C146" i="11"/>
  <c r="L145" i="11"/>
  <c r="C130" i="11"/>
  <c r="B139" i="11"/>
  <c r="L129" i="11"/>
  <c r="G132" i="11"/>
  <c r="I107" i="11"/>
  <c r="I108" i="11" s="1"/>
  <c r="L104" i="11"/>
  <c r="K106" i="11"/>
  <c r="L105" i="11"/>
  <c r="J107" i="11"/>
  <c r="J108" i="11" s="1"/>
  <c r="G124" i="11"/>
  <c r="L119" i="11"/>
  <c r="I120" i="11"/>
  <c r="H123" i="11"/>
  <c r="H124" i="11" s="1"/>
  <c r="L167" i="11"/>
  <c r="I168" i="11"/>
  <c r="H171" i="11"/>
  <c r="H188" i="11"/>
  <c r="I184" i="11"/>
  <c r="I187" i="11" s="1"/>
  <c r="I188" i="11" s="1"/>
  <c r="L183" i="11"/>
  <c r="J184" i="11"/>
  <c r="J201" i="11" l="1"/>
  <c r="L200" i="11"/>
  <c r="I203" i="11"/>
  <c r="H133" i="11"/>
  <c r="J134" i="11"/>
  <c r="K135" i="11" s="1"/>
  <c r="C155" i="11"/>
  <c r="C156" i="11" s="1"/>
  <c r="L146" i="11"/>
  <c r="D147" i="11"/>
  <c r="B140" i="11"/>
  <c r="D131" i="11"/>
  <c r="L130" i="11"/>
  <c r="C139" i="11"/>
  <c r="C140" i="11" s="1"/>
  <c r="F132" i="11"/>
  <c r="L106" i="11"/>
  <c r="M107" i="11" s="1"/>
  <c r="K107" i="11"/>
  <c r="J121" i="11"/>
  <c r="L120" i="11"/>
  <c r="I123" i="11"/>
  <c r="L168" i="11"/>
  <c r="J169" i="11"/>
  <c r="I171" i="11"/>
  <c r="I172" i="11" s="1"/>
  <c r="H172" i="11"/>
  <c r="J185" i="11"/>
  <c r="J187" i="11" s="1"/>
  <c r="J188" i="11" s="1"/>
  <c r="L184" i="11"/>
  <c r="K185" i="11"/>
  <c r="I204" i="11" l="1"/>
  <c r="K202" i="11"/>
  <c r="L201" i="11"/>
  <c r="J203" i="11"/>
  <c r="J204" i="11" s="1"/>
  <c r="G133" i="11"/>
  <c r="E148" i="11"/>
  <c r="L147" i="11"/>
  <c r="D155" i="11"/>
  <c r="D156" i="11" s="1"/>
  <c r="E132" i="11"/>
  <c r="L131" i="11"/>
  <c r="D139" i="11"/>
  <c r="D140" i="11" s="1"/>
  <c r="I134" i="11"/>
  <c r="J135" i="11" s="1"/>
  <c r="K136" i="11" s="1"/>
  <c r="K108" i="11"/>
  <c r="L108" i="11" s="1"/>
  <c r="L107" i="11"/>
  <c r="B242" i="11" s="1"/>
  <c r="I124" i="11"/>
  <c r="K122" i="11"/>
  <c r="L121" i="11"/>
  <c r="J123" i="11"/>
  <c r="J124" i="11" s="1"/>
  <c r="K170" i="11"/>
  <c r="L169" i="11"/>
  <c r="J171" i="11"/>
  <c r="J172" i="11" s="1"/>
  <c r="K186" i="11"/>
  <c r="L186" i="11" s="1"/>
  <c r="L185" i="11"/>
  <c r="L202" i="11" l="1"/>
  <c r="M203" i="11" s="1"/>
  <c r="K203" i="11"/>
  <c r="F133" i="11"/>
  <c r="L132" i="11"/>
  <c r="E139" i="11"/>
  <c r="E140" i="11" s="1"/>
  <c r="F149" i="11"/>
  <c r="L148" i="11"/>
  <c r="E155" i="11"/>
  <c r="E156" i="11" s="1"/>
  <c r="H134" i="11"/>
  <c r="I135" i="11" s="1"/>
  <c r="J136" i="11" s="1"/>
  <c r="K137" i="11" s="1"/>
  <c r="L122" i="11"/>
  <c r="M123" i="11" s="1"/>
  <c r="K123" i="11"/>
  <c r="L170" i="11"/>
  <c r="M171" i="11" s="1"/>
  <c r="K171" i="11"/>
  <c r="M187" i="11"/>
  <c r="K187" i="11"/>
  <c r="K204" i="11" l="1"/>
  <c r="L204" i="11" s="1"/>
  <c r="B248" i="11" s="1"/>
  <c r="L203" i="11"/>
  <c r="L149" i="11"/>
  <c r="G150" i="11"/>
  <c r="F155" i="11"/>
  <c r="F156" i="11" s="1"/>
  <c r="G134" i="11"/>
  <c r="L133" i="11"/>
  <c r="F139" i="11"/>
  <c r="E57" i="11"/>
  <c r="F58" i="11" s="1"/>
  <c r="E82" i="11"/>
  <c r="F83" i="11" s="1"/>
  <c r="G84" i="11" s="1"/>
  <c r="H85" i="11" s="1"/>
  <c r="I86" i="11" s="1"/>
  <c r="J87" i="11" s="1"/>
  <c r="K88" i="11" s="1"/>
  <c r="K57" i="11"/>
  <c r="H82" i="11"/>
  <c r="I83" i="11" s="1"/>
  <c r="J84" i="11" s="1"/>
  <c r="K85" i="11" s="1"/>
  <c r="F57" i="11"/>
  <c r="G58" i="11" s="1"/>
  <c r="H59" i="11" s="1"/>
  <c r="I60" i="11" s="1"/>
  <c r="J61" i="11" s="1"/>
  <c r="K62" i="11" s="1"/>
  <c r="D57" i="11"/>
  <c r="E58" i="11" s="1"/>
  <c r="F59" i="11" s="1"/>
  <c r="G60" i="11" s="1"/>
  <c r="H61" i="11" s="1"/>
  <c r="I62" i="11" s="1"/>
  <c r="J63" i="11" s="1"/>
  <c r="K64" i="11" s="1"/>
  <c r="H57" i="11"/>
  <c r="I58" i="11" s="1"/>
  <c r="G57" i="11"/>
  <c r="H58" i="11" s="1"/>
  <c r="I59" i="11" s="1"/>
  <c r="J60" i="11" s="1"/>
  <c r="K61" i="11" s="1"/>
  <c r="I57" i="11"/>
  <c r="J58" i="11" s="1"/>
  <c r="K59" i="11" s="1"/>
  <c r="D82" i="11"/>
  <c r="E83" i="11" s="1"/>
  <c r="F84" i="11" s="1"/>
  <c r="G85" i="11" s="1"/>
  <c r="H86" i="11" s="1"/>
  <c r="I87" i="11" s="1"/>
  <c r="J88" i="11" s="1"/>
  <c r="K89" i="11" s="1"/>
  <c r="K82" i="11"/>
  <c r="B66" i="11"/>
  <c r="C82" i="11"/>
  <c r="J82" i="11"/>
  <c r="K83" i="11" s="1"/>
  <c r="J57" i="11"/>
  <c r="K58" i="11" s="1"/>
  <c r="I82" i="11"/>
  <c r="J83" i="11" s="1"/>
  <c r="K84" i="11" s="1"/>
  <c r="F82" i="11"/>
  <c r="G83" i="11" s="1"/>
  <c r="H84" i="11" s="1"/>
  <c r="I85" i="11" s="1"/>
  <c r="J86" i="11" s="1"/>
  <c r="K87" i="11" s="1"/>
  <c r="G82" i="11"/>
  <c r="H83" i="11" s="1"/>
  <c r="I84" i="11" s="1"/>
  <c r="J85" i="11" s="1"/>
  <c r="K86" i="11" s="1"/>
  <c r="K124" i="11"/>
  <c r="L124" i="11" s="1"/>
  <c r="L123" i="11"/>
  <c r="K172" i="11"/>
  <c r="L172" i="11" s="1"/>
  <c r="B246" i="11" s="1"/>
  <c r="L171" i="11"/>
  <c r="K188" i="11"/>
  <c r="L188" i="11" s="1"/>
  <c r="B247" i="11" s="1"/>
  <c r="L187" i="11"/>
  <c r="H135" i="11" l="1"/>
  <c r="L134" i="11"/>
  <c r="G139" i="11"/>
  <c r="G140" i="11" s="1"/>
  <c r="F140" i="11"/>
  <c r="L150" i="11"/>
  <c r="H151" i="11"/>
  <c r="G155" i="11"/>
  <c r="G156" i="11" s="1"/>
  <c r="B67" i="11"/>
  <c r="B243" i="11"/>
  <c r="C91" i="11"/>
  <c r="C92" i="11" s="1"/>
  <c r="B91" i="11"/>
  <c r="L81" i="11"/>
  <c r="L56" i="11"/>
  <c r="C57" i="11"/>
  <c r="D58" i="11" s="1"/>
  <c r="D66" i="11" s="1"/>
  <c r="D67" i="11" s="1"/>
  <c r="D83" i="11"/>
  <c r="L82" i="11"/>
  <c r="G59" i="11"/>
  <c r="J59" i="11"/>
  <c r="I152" i="11" l="1"/>
  <c r="L151" i="11"/>
  <c r="H155" i="11"/>
  <c r="H156" i="11" s="1"/>
  <c r="L135" i="11"/>
  <c r="I136" i="11"/>
  <c r="H139" i="11"/>
  <c r="L57" i="11"/>
  <c r="C66" i="11"/>
  <c r="D91" i="11"/>
  <c r="E84" i="11"/>
  <c r="L83" i="11"/>
  <c r="E59" i="11"/>
  <c r="L58" i="11"/>
  <c r="H60" i="11"/>
  <c r="K60" i="11"/>
  <c r="H140" i="11" l="1"/>
  <c r="J137" i="11"/>
  <c r="L136" i="11"/>
  <c r="I139" i="11"/>
  <c r="I140" i="11" s="1"/>
  <c r="I155" i="11"/>
  <c r="J153" i="11"/>
  <c r="L152" i="11"/>
  <c r="C67" i="11"/>
  <c r="F85" i="11"/>
  <c r="L84" i="11"/>
  <c r="E91" i="11"/>
  <c r="E92" i="11" s="1"/>
  <c r="D92" i="11"/>
  <c r="F60" i="11"/>
  <c r="L59" i="11"/>
  <c r="E66" i="11"/>
  <c r="E67" i="11" s="1"/>
  <c r="I61" i="11"/>
  <c r="K154" i="11" l="1"/>
  <c r="L153" i="11"/>
  <c r="J155" i="11"/>
  <c r="J156" i="11" s="1"/>
  <c r="I156" i="11"/>
  <c r="K138" i="11"/>
  <c r="L137" i="11"/>
  <c r="J139" i="11"/>
  <c r="J140" i="11" s="1"/>
  <c r="G86" i="11"/>
  <c r="L85" i="11"/>
  <c r="F91" i="11"/>
  <c r="G61" i="11"/>
  <c r="L60" i="11"/>
  <c r="F66" i="11"/>
  <c r="J62" i="11"/>
  <c r="L138" i="11" l="1"/>
  <c r="M139" i="11" s="1"/>
  <c r="K139" i="11"/>
  <c r="L154" i="11"/>
  <c r="M155" i="11" s="1"/>
  <c r="K155" i="11"/>
  <c r="F67" i="11"/>
  <c r="F92" i="11"/>
  <c r="H87" i="11"/>
  <c r="L86" i="11"/>
  <c r="G91" i="11"/>
  <c r="G92" i="11" s="1"/>
  <c r="H62" i="11"/>
  <c r="L61" i="11"/>
  <c r="G66" i="11"/>
  <c r="G67" i="11" s="1"/>
  <c r="K63" i="11"/>
  <c r="K156" i="11" l="1"/>
  <c r="L156" i="11" s="1"/>
  <c r="B245" i="11" s="1"/>
  <c r="L155" i="11"/>
  <c r="K140" i="11"/>
  <c r="L140" i="11" s="1"/>
  <c r="B244" i="11" s="1"/>
  <c r="L139" i="11"/>
  <c r="L87" i="11"/>
  <c r="I88" i="11"/>
  <c r="H91" i="11"/>
  <c r="H92" i="11" s="1"/>
  <c r="I63" i="11"/>
  <c r="L62" i="11"/>
  <c r="H66" i="11"/>
  <c r="H67" i="11" l="1"/>
  <c r="L88" i="11"/>
  <c r="J89" i="11"/>
  <c r="I91" i="11"/>
  <c r="J64" i="11"/>
  <c r="L63" i="11"/>
  <c r="I66" i="11"/>
  <c r="I67" i="11" s="1"/>
  <c r="I92" i="11" l="1"/>
  <c r="K90" i="11"/>
  <c r="L89" i="11"/>
  <c r="J91" i="11"/>
  <c r="J92" i="11" s="1"/>
  <c r="K65" i="11"/>
  <c r="L64" i="11"/>
  <c r="J66" i="11"/>
  <c r="J67" i="11" s="1"/>
  <c r="L90" i="11" l="1"/>
  <c r="M91" i="11" s="1"/>
  <c r="K91" i="11"/>
  <c r="L65" i="11"/>
  <c r="M66" i="11" s="1"/>
  <c r="K66" i="11"/>
  <c r="K67" i="11" l="1"/>
  <c r="L67" i="11" s="1"/>
  <c r="B240" i="11" s="1"/>
  <c r="C248" i="11" s="1"/>
  <c r="L66" i="11"/>
  <c r="K92" i="11"/>
  <c r="L91" i="11"/>
  <c r="I7" i="12" l="1"/>
  <c r="F248" i="11"/>
  <c r="C244" i="11"/>
  <c r="E244" i="11" s="1"/>
  <c r="C245" i="11"/>
  <c r="C242" i="11"/>
  <c r="C243" i="11"/>
  <c r="C247" i="11"/>
  <c r="E247" i="11" s="1"/>
  <c r="C246" i="11"/>
  <c r="E7" i="12" l="1"/>
  <c r="E12" i="12" s="1"/>
  <c r="F244" i="11"/>
  <c r="I11" i="12"/>
  <c r="I12" i="12"/>
  <c r="E248" i="11"/>
  <c r="G7" i="12"/>
  <c r="G11" i="12" s="1"/>
  <c r="E246" i="11"/>
  <c r="D7" i="12"/>
  <c r="D11" i="12" s="1"/>
  <c r="E243" i="11"/>
  <c r="C7" i="12"/>
  <c r="C11" i="12" s="1"/>
  <c r="E242" i="11"/>
  <c r="F7" i="12"/>
  <c r="F11" i="12" s="1"/>
  <c r="E245" i="11"/>
  <c r="H7" i="12"/>
  <c r="H11" i="12" s="1"/>
  <c r="F243" i="11"/>
  <c r="F242" i="11"/>
  <c r="F245" i="11"/>
  <c r="F247" i="11"/>
  <c r="F246" i="11"/>
  <c r="E11" i="12" l="1"/>
  <c r="C12" i="12"/>
  <c r="D12" i="12"/>
  <c r="F12" i="12"/>
  <c r="G12" i="12"/>
  <c r="H12" i="12"/>
  <c r="L92" i="11" l="1"/>
  <c r="B241" i="11" s="1"/>
  <c r="C241" i="11" s="1"/>
  <c r="B7" i="12" l="1"/>
  <c r="B11" i="12" s="1"/>
  <c r="E241" i="11"/>
  <c r="B12" i="12" l="1"/>
  <c r="F241" i="11"/>
</calcChain>
</file>

<file path=xl/comments1.xml><?xml version="1.0" encoding="utf-8"?>
<comments xmlns="http://schemas.openxmlformats.org/spreadsheetml/2006/main">
  <authors>
    <author>Darryl Jones</author>
  </authors>
  <commentList>
    <comment ref="H27" authorId="0" shapeId="0">
      <text>
        <r>
          <rPr>
            <b/>
            <sz val="9"/>
            <color indexed="81"/>
            <rFont val="Tahoma"/>
            <family val="2"/>
          </rPr>
          <t>Darryl Jones:</t>
        </r>
        <r>
          <rPr>
            <sz val="9"/>
            <color indexed="81"/>
            <rFont val="Tahoma"/>
            <family val="2"/>
          </rPr>
          <t xml:space="preserve">
Used the highest value across the LOF regimes</t>
        </r>
      </text>
    </comment>
    <comment ref="A31" authorId="0" shapeId="0">
      <text>
        <r>
          <rPr>
            <b/>
            <sz val="9"/>
            <color indexed="81"/>
            <rFont val="Tahoma"/>
            <family val="2"/>
          </rPr>
          <t>Darryl Jones:</t>
        </r>
        <r>
          <rPr>
            <sz val="9"/>
            <color indexed="81"/>
            <rFont val="Tahoma"/>
            <family val="2"/>
          </rPr>
          <t xml:space="preserve">
There are currently approximately 2870 licensed moorings in Northland.</t>
        </r>
      </text>
    </comment>
  </commentList>
</comments>
</file>

<file path=xl/comments2.xml><?xml version="1.0" encoding="utf-8"?>
<comments xmlns="http://schemas.openxmlformats.org/spreadsheetml/2006/main">
  <authors>
    <author>Darryl Jones</author>
  </authors>
  <commentList>
    <comment ref="B34" authorId="0" shapeId="0">
      <text>
        <r>
          <rPr>
            <b/>
            <sz val="9"/>
            <color indexed="81"/>
            <rFont val="Tahoma"/>
            <family val="2"/>
          </rPr>
          <t>Darryl Jones:</t>
        </r>
        <r>
          <rPr>
            <sz val="9"/>
            <color indexed="81"/>
            <rFont val="Tahoma"/>
            <family val="2"/>
          </rPr>
          <t xml:space="preserve">
LOF 3,4 and 2 with movement would pretty much require the equivalent of whan we do now. We could eye ball vessels from the surface but would stll need to check in water for marine pests. We would not need to increase the intensity of survey though. The others I have used the inverse of the non compliant vessels as an increase in the number of non compliant vessels to justify an increase in number of vessels we would need to be checked.</t>
        </r>
      </text>
    </comment>
    <comment ref="D119" authorId="0" shapeId="0">
      <text>
        <r>
          <rPr>
            <b/>
            <sz val="9"/>
            <color indexed="81"/>
            <rFont val="Tahoma"/>
            <charset val="1"/>
          </rPr>
          <t>Darryl Jones:</t>
        </r>
        <r>
          <rPr>
            <sz val="9"/>
            <color indexed="81"/>
            <rFont val="Tahoma"/>
            <charset val="1"/>
          </rPr>
          <t xml:space="preserve">
Added this in as found missing</t>
        </r>
      </text>
    </comment>
    <comment ref="E120" authorId="0" shapeId="0">
      <text>
        <r>
          <rPr>
            <b/>
            <sz val="9"/>
            <color indexed="81"/>
            <rFont val="Tahoma"/>
            <charset val="1"/>
          </rPr>
          <t>Darryl Jones:</t>
        </r>
        <r>
          <rPr>
            <sz val="9"/>
            <color indexed="81"/>
            <rFont val="Tahoma"/>
            <charset val="1"/>
          </rPr>
          <t xml:space="preserve">
Added these in after conversation with James G (22 March)</t>
        </r>
      </text>
    </comment>
  </commentList>
</comments>
</file>

<file path=xl/sharedStrings.xml><?xml version="1.0" encoding="utf-8"?>
<sst xmlns="http://schemas.openxmlformats.org/spreadsheetml/2006/main" count="10831" uniqueCount="1739">
  <si>
    <t>LOF</t>
  </si>
  <si>
    <t>Mean % boats/LOF</t>
  </si>
  <si>
    <t>Mean % infected boats/LOF</t>
  </si>
  <si>
    <t>V</t>
  </si>
  <si>
    <t>I</t>
  </si>
  <si>
    <t>Net benefit</t>
  </si>
  <si>
    <t>where:</t>
  </si>
  <si>
    <t>V = value at risk</t>
  </si>
  <si>
    <t>Ru - Rm = Benefit of risk reduction (dollars per year)</t>
  </si>
  <si>
    <t>P (treatment success)</t>
  </si>
  <si>
    <t>Description</t>
  </si>
  <si>
    <t>Readiness</t>
  </si>
  <si>
    <t>Administration</t>
  </si>
  <si>
    <t>Training and warranting</t>
  </si>
  <si>
    <t>Liaison with other regions</t>
  </si>
  <si>
    <t>Cost source</t>
  </si>
  <si>
    <t>Keeping up to date with incident planning, including maintaining and updating operational manuals.</t>
  </si>
  <si>
    <t>Training required for Council compliance staff and for partner organisations such as marinas and marine farming code of practice practitioners.</t>
  </si>
  <si>
    <t>Cost</t>
  </si>
  <si>
    <t>(calculation based on %risk reduction from Pi under different levels of LOF management).</t>
  </si>
  <si>
    <t>RRm (risk reduction per dollar spent on management) = (Ru - Rm) / C</t>
  </si>
  <si>
    <t>Pi</t>
  </si>
  <si>
    <t>Pi = likelihood of pest intro without management</t>
  </si>
  <si>
    <t xml:space="preserve">Pi(M) = reduced likelihood of pest intro with management. </t>
  </si>
  <si>
    <t>Weight by median %cover/LOF</t>
  </si>
  <si>
    <t>Elements of efficacy</t>
  </si>
  <si>
    <t>Efficacy score</t>
  </si>
  <si>
    <t>P (uptake/detection)</t>
  </si>
  <si>
    <t>Ru1</t>
  </si>
  <si>
    <t>Ru2</t>
  </si>
  <si>
    <t>Ru3</t>
  </si>
  <si>
    <t>Ru4</t>
  </si>
  <si>
    <t>Ru5</t>
  </si>
  <si>
    <t>Ru6</t>
  </si>
  <si>
    <t>Ru7</t>
  </si>
  <si>
    <t>Ru8</t>
  </si>
  <si>
    <t>Ru9</t>
  </si>
  <si>
    <t>Ru10</t>
  </si>
  <si>
    <t>Rm1</t>
  </si>
  <si>
    <t>Rm2</t>
  </si>
  <si>
    <t>Rm3</t>
  </si>
  <si>
    <t>Rm4</t>
  </si>
  <si>
    <t>Rm5</t>
  </si>
  <si>
    <t>Rm6</t>
  </si>
  <si>
    <t>Rm7</t>
  </si>
  <si>
    <t>Rm8</t>
  </si>
  <si>
    <t>Rm9</t>
  </si>
  <si>
    <t>Rm10</t>
  </si>
  <si>
    <t>Psc</t>
  </si>
  <si>
    <t>a. Risk reduction assumed to depend on treatment success (i.e. from a technical viewpoint) and uptake of management measures (and/or detection of non-compliant boats)</t>
  </si>
  <si>
    <t>Psc = likelihood of successful pest population control (hence 1 - Psc is likelihood of failure)</t>
  </si>
  <si>
    <t>a. Calculation based on a 10 yr timeframe to realisation of impact (I)</t>
  </si>
  <si>
    <t>b. Assumption that progression to impact (I) at year 10 occurs in even increments</t>
  </si>
  <si>
    <t>Sum</t>
  </si>
  <si>
    <t>METHOD (modified from Forrest et al 2006)</t>
  </si>
  <si>
    <t>I = proportion of V adversely impacted</t>
  </si>
  <si>
    <t>Year</t>
  </si>
  <si>
    <t>c. Risk is additive across years in that risk at year 2 is an increment to the risk at year 1 - it reflects that in year 2 there is an extra year of pest spread, plus increased likelihood of a new pest arriving.</t>
  </si>
  <si>
    <t>a. Worst-case for NRC assumed as low efficacy of a management approach based on max permitted LOF of 2. Could repeat the calcs for high efficacy.</t>
  </si>
  <si>
    <t xml:space="preserve">b. TOS also likely to consider a management approach based on max permitted LOF of 3. </t>
  </si>
  <si>
    <t>a. Calculation based on a 10 yr timeframe to realisation of impact (I) (assuming pathway plan in place for 10 yrs)</t>
  </si>
  <si>
    <t>Spread increments even</t>
  </si>
  <si>
    <t>Spread increments geometric</t>
  </si>
  <si>
    <t xml:space="preserve">            X</t>
  </si>
  <si>
    <t xml:space="preserve">        =</t>
  </si>
  <si>
    <t>(Note that domestic BW can't practically be managed with present/accepted tools; except maybe via designated discharge zones).</t>
  </si>
  <si>
    <t>Incursion rate</t>
  </si>
  <si>
    <t>b. The results are the estimated proportional reductions in Pi and are used in #5 to calcuate Pi(M) for HF</t>
  </si>
  <si>
    <t>Residual risk (1-reduction)</t>
  </si>
  <si>
    <t>Reduction in risk</t>
  </si>
  <si>
    <t>Raw risk</t>
  </si>
  <si>
    <t>TOTALS</t>
  </si>
  <si>
    <t>Calculation of Benefit-Cost</t>
  </si>
  <si>
    <t>D. Analysis of managed risk, Rm, and benefit-cost in LOW EFFICACY scenario</t>
  </si>
  <si>
    <t>A</t>
  </si>
  <si>
    <t>B</t>
  </si>
  <si>
    <t>C</t>
  </si>
  <si>
    <t>D</t>
  </si>
  <si>
    <t>E</t>
  </si>
  <si>
    <t>F</t>
  </si>
  <si>
    <t>G</t>
  </si>
  <si>
    <t>H</t>
  </si>
  <si>
    <t>Weighting (median % cover)</t>
  </si>
  <si>
    <t>Adjusted risk score (without management)</t>
  </si>
  <si>
    <t>Risk eliminated (F - G)</t>
  </si>
  <si>
    <t>1</t>
  </si>
  <si>
    <t>2</t>
  </si>
  <si>
    <t>3</t>
  </si>
  <si>
    <t>4</t>
  </si>
  <si>
    <t>5</t>
  </si>
  <si>
    <t>a. Pi for HF from #1 reduces by amount indicated in #4, to give Pi(M) for HF based on TOS example. Pi(M) for other pathways is assumed unchanged.</t>
  </si>
  <si>
    <t>4. Calculate level of reduction in hull fouling risk for assumed levels of efficacy</t>
  </si>
  <si>
    <t>5. Calculate Pi(M) accounting for reduced risk from HF and risk from other unmanaged pathways.</t>
  </si>
  <si>
    <t>2. Determine proportion of HF risk eliminated with management.</t>
  </si>
  <si>
    <t>3. Determine management efficacy factor (i.e. likelihood of success)</t>
  </si>
  <si>
    <r>
      <t>Pi</t>
    </r>
    <r>
      <rPr>
        <vertAlign val="subscript"/>
        <sz val="11"/>
        <color theme="1"/>
        <rFont val="Calibri"/>
        <family val="2"/>
        <scheme val="minor"/>
      </rPr>
      <t>(HF)</t>
    </r>
  </si>
  <si>
    <t>Education and outreach</t>
  </si>
  <si>
    <t>Workshops, boat shows, communcations planning and execution</t>
  </si>
  <si>
    <t>Routine checking of structures and investigation of previously unchecked structures</t>
  </si>
  <si>
    <t>Ongoing liaison with biosecurity practitioners and node managers in other regions that are sources of risk.</t>
  </si>
  <si>
    <t>Legal and science advice</t>
  </si>
  <si>
    <t>VesselName</t>
  </si>
  <si>
    <t>Location</t>
  </si>
  <si>
    <t>VesselType</t>
  </si>
  <si>
    <t>VesselSize</t>
  </si>
  <si>
    <t>Origin</t>
  </si>
  <si>
    <t>RPMP_PestSpeciesPresent2</t>
  </si>
  <si>
    <t>RPMP_PestSpeciesPresent</t>
  </si>
  <si>
    <t>RPMP SP PRESENT</t>
  </si>
  <si>
    <t>LastAntiFoul</t>
  </si>
  <si>
    <t>LastFullLiftAndWash</t>
  </si>
  <si>
    <t>LengthOfVisitToNorthland</t>
  </si>
  <si>
    <t>allocated LOF</t>
  </si>
  <si>
    <t>Number of vessels</t>
  </si>
  <si>
    <t>Share of total</t>
  </si>
  <si>
    <t>Estere</t>
  </si>
  <si>
    <t>Whangarei</t>
  </si>
  <si>
    <t>Yacht</t>
  </si>
  <si>
    <t>5-10m</t>
  </si>
  <si>
    <t>Manaaki</t>
  </si>
  <si>
    <t>Launch</t>
  </si>
  <si>
    <t>R&amp;R</t>
  </si>
  <si>
    <t>Otan</t>
  </si>
  <si>
    <t>Eclipse</t>
  </si>
  <si>
    <t>10-15m</t>
  </si>
  <si>
    <t>Unknown - white with red stripe &amp; dark blue hull</t>
  </si>
  <si>
    <t>Kerangi</t>
  </si>
  <si>
    <t>Moana</t>
  </si>
  <si>
    <t>Unknown - green hull, cream top</t>
  </si>
  <si>
    <t>Quest II</t>
  </si>
  <si>
    <t>Qui Bono</t>
  </si>
  <si>
    <t>Unknown - white with red hull &amp; black windows</t>
  </si>
  <si>
    <t>15-20m</t>
  </si>
  <si>
    <t>Length</t>
  </si>
  <si>
    <t>Multihull</t>
  </si>
  <si>
    <t>Barge</t>
  </si>
  <si>
    <t>Commercial fishing vessel</t>
  </si>
  <si>
    <t>Liaison</t>
  </si>
  <si>
    <t>0-5m</t>
  </si>
  <si>
    <t>Sea Love</t>
  </si>
  <si>
    <t>Mutineer</t>
  </si>
  <si>
    <t>Lady Rae</t>
  </si>
  <si>
    <t>Schonica</t>
  </si>
  <si>
    <t>20-25m</t>
  </si>
  <si>
    <t>Riba</t>
  </si>
  <si>
    <t>&gt;25m</t>
  </si>
  <si>
    <t>Prema</t>
  </si>
  <si>
    <t>Total</t>
  </si>
  <si>
    <t>Chalyn</t>
  </si>
  <si>
    <t>launch</t>
  </si>
  <si>
    <t>Te Kāhu</t>
  </si>
  <si>
    <t>Outer bay of Islands</t>
  </si>
  <si>
    <t>yacht</t>
  </si>
  <si>
    <t>Auckland- waitemata</t>
  </si>
  <si>
    <t>1 month - brand new, first launched in Westhaven</t>
  </si>
  <si>
    <t>Santana</t>
  </si>
  <si>
    <t>&lt;1 month</t>
  </si>
  <si>
    <t>3 weeks</t>
  </si>
  <si>
    <t>Unreal</t>
  </si>
  <si>
    <t>Inferno</t>
  </si>
  <si>
    <t>Opito Bay</t>
  </si>
  <si>
    <t>Estralita III</t>
  </si>
  <si>
    <t>Kerikeri-Northern bays</t>
  </si>
  <si>
    <t>Styela</t>
  </si>
  <si>
    <t>Y</t>
  </si>
  <si>
    <t>Moody Blu</t>
  </si>
  <si>
    <t>Milady Explorer</t>
  </si>
  <si>
    <t>Northland</t>
  </si>
  <si>
    <t>6-12 months</t>
  </si>
  <si>
    <t>Local - from Whangarei</t>
  </si>
  <si>
    <t xml:space="preserve">Nimbus - grey hull w red trim on windows </t>
  </si>
  <si>
    <t>Lord Grant</t>
  </si>
  <si>
    <t>Whangaroa</t>
  </si>
  <si>
    <t>Raven</t>
  </si>
  <si>
    <t>Sky Rocket</t>
  </si>
  <si>
    <t>Inner bay of Islands</t>
  </si>
  <si>
    <t xml:space="preserve">Dreamtime </t>
  </si>
  <si>
    <t>Dream Time</t>
  </si>
  <si>
    <t>Ivory Lady</t>
  </si>
  <si>
    <t>Beaufort</t>
  </si>
  <si>
    <t>Auckland- Gulf harbour</t>
  </si>
  <si>
    <t>1-3 months</t>
  </si>
  <si>
    <t>2 months, via Whangarei where it was last cleaned</t>
  </si>
  <si>
    <t>Côte d'Azur</t>
  </si>
  <si>
    <t>Solid Gold</t>
  </si>
  <si>
    <t>Miss Teak</t>
  </si>
  <si>
    <t>12-18 months</t>
  </si>
  <si>
    <t>2 weeks</t>
  </si>
  <si>
    <t>Oasis</t>
  </si>
  <si>
    <t>3-6 months</t>
  </si>
  <si>
    <t>Local - from Doves Bay, Kerikeri</t>
  </si>
  <si>
    <t>Gazebo</t>
  </si>
  <si>
    <t>Local - from Opua</t>
  </si>
  <si>
    <t>Raddaree</t>
  </si>
  <si>
    <t>Moving to Opua forever. Last clean in Whangarei.</t>
  </si>
  <si>
    <t>Notorious</t>
  </si>
  <si>
    <t>Until mid-Jan</t>
  </si>
  <si>
    <t>Vantage</t>
  </si>
  <si>
    <t>Footprints</t>
  </si>
  <si>
    <t>Obsession</t>
  </si>
  <si>
    <t>Local - from Marsden Cove</t>
  </si>
  <si>
    <t>Redeemer II</t>
  </si>
  <si>
    <t>2 weeks. From Bayswater. Last clean on Kawau.</t>
  </si>
  <si>
    <t>Spyker</t>
  </si>
  <si>
    <t>Long Gone</t>
  </si>
  <si>
    <t>Local - from Matauwhi Bay</t>
  </si>
  <si>
    <t>War Machine</t>
  </si>
  <si>
    <t>1 month</t>
  </si>
  <si>
    <t>Premium</t>
  </si>
  <si>
    <t>Del-C-Rose</t>
  </si>
  <si>
    <t>North Island other</t>
  </si>
  <si>
    <t>3 weeks - from Warkworth</t>
  </si>
  <si>
    <t>Khan</t>
  </si>
  <si>
    <t xml:space="preserve">Korara </t>
  </si>
  <si>
    <t>Coral V 9986</t>
  </si>
  <si>
    <t>Houhora</t>
  </si>
  <si>
    <t>commercial fishing vessel</t>
  </si>
  <si>
    <t>Local fishermen - haul out two weeks ago in Opua</t>
  </si>
  <si>
    <t>Live Wire</t>
  </si>
  <si>
    <t>Local - from Opua Marina</t>
  </si>
  <si>
    <t>Talon</t>
  </si>
  <si>
    <t>12-24 months</t>
  </si>
  <si>
    <t>Local - from Russell</t>
  </si>
  <si>
    <t>Amokura</t>
  </si>
  <si>
    <t>2 months</t>
  </si>
  <si>
    <t>Tilly</t>
  </si>
  <si>
    <t>Vagan</t>
  </si>
  <si>
    <t>Manuia</t>
  </si>
  <si>
    <t>Active</t>
  </si>
  <si>
    <t xml:space="preserve">Semele </t>
  </si>
  <si>
    <t>The Limit</t>
  </si>
  <si>
    <t>Follow Me</t>
  </si>
  <si>
    <t>Va-Voom</t>
  </si>
  <si>
    <t>5 weeks</t>
  </si>
  <si>
    <t>Code Zero</t>
  </si>
  <si>
    <t>Coromandel</t>
  </si>
  <si>
    <t>1 month - from Tairua</t>
  </si>
  <si>
    <t>Highlander</t>
  </si>
  <si>
    <t>2months diver inspected and cleaned a week ago</t>
  </si>
  <si>
    <t>Sapphire</t>
  </si>
  <si>
    <t>1 month. Owner not onboard so info limited.</t>
  </si>
  <si>
    <t>Mahalo</t>
  </si>
  <si>
    <t>Westpoint</t>
  </si>
  <si>
    <t>Carena</t>
  </si>
  <si>
    <t>Katina</t>
  </si>
  <si>
    <t>Hang Loose</t>
  </si>
  <si>
    <t>Unknown - white with blue trim, for sale</t>
  </si>
  <si>
    <t>Pedro</t>
  </si>
  <si>
    <t>Te Ata</t>
  </si>
  <si>
    <t>Valder-M</t>
  </si>
  <si>
    <t>Blondie</t>
  </si>
  <si>
    <t>Mandalay</t>
  </si>
  <si>
    <t>Seawitch</t>
  </si>
  <si>
    <t>Grand Soleil 46'LC</t>
  </si>
  <si>
    <t>2 weeks. New boat launched September.</t>
  </si>
  <si>
    <t>Wirihana</t>
  </si>
  <si>
    <t>3-4 weeks, put in water in October</t>
  </si>
  <si>
    <t>Huntress</t>
  </si>
  <si>
    <t>Amitie</t>
  </si>
  <si>
    <t>Jenanne</t>
  </si>
  <si>
    <t>Auckland - Waitemata</t>
  </si>
  <si>
    <t>2 weeks - tall ships</t>
  </si>
  <si>
    <t>Clansman</t>
  </si>
  <si>
    <t>Wakanui</t>
  </si>
  <si>
    <t>Northern Lights</t>
  </si>
  <si>
    <t>'Bonito Aquacuis 22' - yellow hull</t>
  </si>
  <si>
    <t>Belzara</t>
  </si>
  <si>
    <t>Luana</t>
  </si>
  <si>
    <t>Local - from Doves Bay. Was inspected in Marina.</t>
  </si>
  <si>
    <t>Nautilus</t>
  </si>
  <si>
    <t xml:space="preserve">Until March </t>
  </si>
  <si>
    <t>Mojito</t>
  </si>
  <si>
    <t>Aiwa</t>
  </si>
  <si>
    <t>Didemnum</t>
  </si>
  <si>
    <t>Master Mark</t>
  </si>
  <si>
    <t>Northerner</t>
  </si>
  <si>
    <t>Turissimo</t>
  </si>
  <si>
    <t>multihull</t>
  </si>
  <si>
    <t>Native</t>
  </si>
  <si>
    <t>Mangonui</t>
  </si>
  <si>
    <t>'C' Queen</t>
  </si>
  <si>
    <t>Glass Spider</t>
  </si>
  <si>
    <t>Roger Henry</t>
  </si>
  <si>
    <t>Port Patrick - blue boat</t>
  </si>
  <si>
    <t>Mariposa</t>
  </si>
  <si>
    <t>Barking Mad</t>
  </si>
  <si>
    <t>Celtic Lass</t>
  </si>
  <si>
    <t>Tansi</t>
  </si>
  <si>
    <t>Andante</t>
  </si>
  <si>
    <t>Ritzy Lady</t>
  </si>
  <si>
    <t>Blue Chip</t>
  </si>
  <si>
    <t>Unknown - White with aqua lower hull</t>
  </si>
  <si>
    <t>Tide Runner</t>
  </si>
  <si>
    <t>Sun Chaser</t>
  </si>
  <si>
    <t>Mehitabel</t>
  </si>
  <si>
    <t>Off Shore</t>
  </si>
  <si>
    <t>1 month - came from Tonga - originally Canada</t>
  </si>
  <si>
    <t>Berserker</t>
  </si>
  <si>
    <t>Unknown - White with black lower hull, blue canopy</t>
  </si>
  <si>
    <t>Jet Cat</t>
  </si>
  <si>
    <t>A few weeks</t>
  </si>
  <si>
    <t>Unknown - White with red lower hull and green trim</t>
  </si>
  <si>
    <t>Local - from Opua. Only been in the water 2 weeks</t>
  </si>
  <si>
    <t>Purrr-Fik</t>
  </si>
  <si>
    <t>Bushido</t>
  </si>
  <si>
    <t>Zindabar</t>
  </si>
  <si>
    <t>Local - from Kerikeri</t>
  </si>
  <si>
    <t>Elizabeth Reed</t>
  </si>
  <si>
    <t>1 week, chartered boat from Bayswater</t>
  </si>
  <si>
    <t>Pennygowan</t>
  </si>
  <si>
    <t>1 month, last cleaned in Halfmoon Bay</t>
  </si>
  <si>
    <t>Learning Curve</t>
  </si>
  <si>
    <t>Yonda K</t>
  </si>
  <si>
    <t>Pericon</t>
  </si>
  <si>
    <t>Antipodes</t>
  </si>
  <si>
    <t>Nullari</t>
  </si>
  <si>
    <t>Deliverance</t>
  </si>
  <si>
    <t>Squid</t>
  </si>
  <si>
    <t>Unknown, sounds like comes often</t>
  </si>
  <si>
    <t>Valentine</t>
  </si>
  <si>
    <t>Changes Of Latitude</t>
  </si>
  <si>
    <t>Cassidy</t>
  </si>
  <si>
    <t>Antipodean</t>
  </si>
  <si>
    <t>Unknown - white with orange and brown stripe upper</t>
  </si>
  <si>
    <t>Walter Mitty</t>
  </si>
  <si>
    <t>Unknown - White w blue stripe, green lower hull</t>
  </si>
  <si>
    <t>Chipper</t>
  </si>
  <si>
    <t>Sniper</t>
  </si>
  <si>
    <t>Young Mischief</t>
  </si>
  <si>
    <t>Outrageous Fortune</t>
  </si>
  <si>
    <t>Alomar</t>
  </si>
  <si>
    <t>Local - from Opua - charter vessel</t>
  </si>
  <si>
    <t>Zeberti</t>
  </si>
  <si>
    <t>L'Amour De La Mer</t>
  </si>
  <si>
    <t>Local - from Tutukaka</t>
  </si>
  <si>
    <t>House of Elliott</t>
  </si>
  <si>
    <t>Whirlwind</t>
  </si>
  <si>
    <t>Tauranga</t>
  </si>
  <si>
    <t>Seaplusplus</t>
  </si>
  <si>
    <t>Local - from Kerikeri, moored in Opua</t>
  </si>
  <si>
    <t xml:space="preserve">Mokoia </t>
  </si>
  <si>
    <t xml:space="preserve">Barnstorm </t>
  </si>
  <si>
    <t>Local - from round the corner of Doves Bay</t>
  </si>
  <si>
    <t>Namu</t>
  </si>
  <si>
    <t>Esradekan</t>
  </si>
  <si>
    <t>Local - from Pacific Bay, Tutukaka</t>
  </si>
  <si>
    <t>Camille</t>
  </si>
  <si>
    <t>Local</t>
  </si>
  <si>
    <t>Enceladus</t>
  </si>
  <si>
    <t>6 weeks</t>
  </si>
  <si>
    <t>Different Drummer</t>
  </si>
  <si>
    <t>Breeze Bender</t>
  </si>
  <si>
    <t>Melody</t>
  </si>
  <si>
    <t xml:space="preserve">Restitution </t>
  </si>
  <si>
    <t>Fideliter</t>
  </si>
  <si>
    <t>Ellen Rose</t>
  </si>
  <si>
    <t>T.S.Crow</t>
  </si>
  <si>
    <t>3I6 (Unknown-White w red stripe, blue stripe lower</t>
  </si>
  <si>
    <t>Unknown - white with navy blue canvas &amp; sail cover</t>
  </si>
  <si>
    <t>Lady Vi</t>
  </si>
  <si>
    <t>LaRrikin</t>
  </si>
  <si>
    <t>La Tosca</t>
  </si>
  <si>
    <t>Break Free</t>
  </si>
  <si>
    <t>Meltemi</t>
  </si>
  <si>
    <t>Tabrita</t>
  </si>
  <si>
    <t>Delinquent</t>
  </si>
  <si>
    <t>Unknown - white with dark red hull</t>
  </si>
  <si>
    <t>Bullion Rover</t>
  </si>
  <si>
    <t>Moana Marire</t>
  </si>
  <si>
    <t>Kohine</t>
  </si>
  <si>
    <t>Sabella</t>
  </si>
  <si>
    <t>Diva</t>
  </si>
  <si>
    <t>Lucky Strike Houhora</t>
  </si>
  <si>
    <t>Marangai</t>
  </si>
  <si>
    <t>Bellatrix</t>
  </si>
  <si>
    <t>From Kerikeri - local</t>
  </si>
  <si>
    <t>Tawera</t>
  </si>
  <si>
    <t>Local - from Opua (on mooring)</t>
  </si>
  <si>
    <t>Mercedes</t>
  </si>
  <si>
    <t>Local - from Whangarei, father owns Marina there</t>
  </si>
  <si>
    <t>Marisha</t>
  </si>
  <si>
    <t>Dancer</t>
  </si>
  <si>
    <t xml:space="preserve">3 weeks then going to Whangarei for antifoul </t>
  </si>
  <si>
    <t xml:space="preserve">Poteen </t>
  </si>
  <si>
    <t>Local - stays in the Bay</t>
  </si>
  <si>
    <t>Ocean Oasis</t>
  </si>
  <si>
    <t>Local - from Opua, first launched in Aug in Akl</t>
  </si>
  <si>
    <t>Contessa</t>
  </si>
  <si>
    <t>Waipuna</t>
  </si>
  <si>
    <t>Waitoa</t>
  </si>
  <si>
    <t>Mathias</t>
  </si>
  <si>
    <t>Wairoa</t>
  </si>
  <si>
    <t>Serene</t>
  </si>
  <si>
    <t>Ali Baba</t>
  </si>
  <si>
    <t>Kaiulani</t>
  </si>
  <si>
    <t>Tradition</t>
  </si>
  <si>
    <t>Hoki Mai</t>
  </si>
  <si>
    <t>Opium</t>
  </si>
  <si>
    <t>Mene</t>
  </si>
  <si>
    <t>Cool Change</t>
  </si>
  <si>
    <t>Shenae</t>
  </si>
  <si>
    <t>Tapui</t>
  </si>
  <si>
    <t>Dominator</t>
  </si>
  <si>
    <t>Dacana</t>
  </si>
  <si>
    <t>Tuahine</t>
  </si>
  <si>
    <t>Sea Fever</t>
  </si>
  <si>
    <t xml:space="preserve">Nga Hau E Wha </t>
  </si>
  <si>
    <t>Step By Step</t>
  </si>
  <si>
    <t>Bon Accord</t>
  </si>
  <si>
    <t>Local - from Opua M539</t>
  </si>
  <si>
    <t>Blue Horizon</t>
  </si>
  <si>
    <t>Pieces of White</t>
  </si>
  <si>
    <t>Czarina</t>
  </si>
  <si>
    <t>Unknown - White with wood trim</t>
  </si>
  <si>
    <t>Vanessa</t>
  </si>
  <si>
    <t>Local - based in Opua and Tutukaka</t>
  </si>
  <si>
    <t>Intrepid</t>
  </si>
  <si>
    <t xml:space="preserve">Nefertiti </t>
  </si>
  <si>
    <t>&gt;24 months</t>
  </si>
  <si>
    <t>Local - from Opito Bay</t>
  </si>
  <si>
    <t>Local charter boat in Bay of Islands</t>
  </si>
  <si>
    <t>Armagh</t>
  </si>
  <si>
    <t>5 months</t>
  </si>
  <si>
    <t>She's a Lady</t>
  </si>
  <si>
    <t>Local - tour guide based in Opua</t>
  </si>
  <si>
    <t>Ylva</t>
  </si>
  <si>
    <t>Imagine</t>
  </si>
  <si>
    <t>Good Chanse</t>
  </si>
  <si>
    <t>4 months - been staying in Opua</t>
  </si>
  <si>
    <t>Valhalla</t>
  </si>
  <si>
    <t>Kenzie</t>
  </si>
  <si>
    <t>Puppet</t>
  </si>
  <si>
    <t>Dream Cloud</t>
  </si>
  <si>
    <t>Kalena</t>
  </si>
  <si>
    <t>Quasimodo</t>
  </si>
  <si>
    <t>Wellington</t>
  </si>
  <si>
    <t>Jay</t>
  </si>
  <si>
    <t>Lucille</t>
  </si>
  <si>
    <t>Tokouru</t>
  </si>
  <si>
    <t>Voltaire</t>
  </si>
  <si>
    <t>Local but gone back to Ireland</t>
  </si>
  <si>
    <t>Libertas</t>
  </si>
  <si>
    <t>Local - moored in Totara North, Whangaroa</t>
  </si>
  <si>
    <t>Bundi</t>
  </si>
  <si>
    <t xml:space="preserve">Local - moored in Totara North, Whangaroa </t>
  </si>
  <si>
    <t>Oyster</t>
  </si>
  <si>
    <t>Marlin Blue</t>
  </si>
  <si>
    <t>Local - moored in Whangaroa Harbour</t>
  </si>
  <si>
    <t>Hinemoana II</t>
  </si>
  <si>
    <t xml:space="preserve">Princess Persephone </t>
  </si>
  <si>
    <t xml:space="preserve">Shingetsu </t>
  </si>
  <si>
    <t xml:space="preserve">Trojanita </t>
  </si>
  <si>
    <t>Sunbird</t>
  </si>
  <si>
    <t>Natural Gas</t>
  </si>
  <si>
    <t xml:space="preserve">Chavala </t>
  </si>
  <si>
    <t>Turua</t>
  </si>
  <si>
    <t>Sheer Bliss</t>
  </si>
  <si>
    <t xml:space="preserve">Amanzi </t>
  </si>
  <si>
    <t xml:space="preserve">Scherzando </t>
  </si>
  <si>
    <t>Scud</t>
  </si>
  <si>
    <t xml:space="preserve">Kingfisher </t>
  </si>
  <si>
    <t>Sensation</t>
  </si>
  <si>
    <t>Vela Blanca</t>
  </si>
  <si>
    <t>1 week</t>
  </si>
  <si>
    <t>Debbie Mi Amor</t>
  </si>
  <si>
    <t>Craig Isle</t>
  </si>
  <si>
    <t>Crown Jewel</t>
  </si>
  <si>
    <t>Unknown - White "Oliver Royale 370" w blk wndw cvr</t>
  </si>
  <si>
    <t>Local - from Doves Bay</t>
  </si>
  <si>
    <t>5 months every year</t>
  </si>
  <si>
    <t>Unknown - White with black lower hull</t>
  </si>
  <si>
    <t>Aseana</t>
  </si>
  <si>
    <t>Alien</t>
  </si>
  <si>
    <t>SSR126660 Maldon</t>
  </si>
  <si>
    <t>Fisher II</t>
  </si>
  <si>
    <t>Finalee 11421</t>
  </si>
  <si>
    <t>Black LABEL</t>
  </si>
  <si>
    <t>Catherine Anne</t>
  </si>
  <si>
    <t>Satori</t>
  </si>
  <si>
    <t>Nella 7302</t>
  </si>
  <si>
    <t>Asahi</t>
  </si>
  <si>
    <t>Permanent from Kissing Point</t>
  </si>
  <si>
    <t>Rasmus</t>
  </si>
  <si>
    <t>Dolfijn Cowes</t>
  </si>
  <si>
    <t>4years so far now based here in Opito Bay</t>
  </si>
  <si>
    <t>Granny Smith</t>
  </si>
  <si>
    <t>Permanent - from Kerkeri</t>
  </si>
  <si>
    <t>Deodar II</t>
  </si>
  <si>
    <t>From Tutukaka</t>
  </si>
  <si>
    <t>Sheer Indulgence</t>
  </si>
  <si>
    <t>Luckness</t>
  </si>
  <si>
    <t>5months, from Fiji, originally from Seattle</t>
  </si>
  <si>
    <t>Coda</t>
  </si>
  <si>
    <t>Unknown - White with blue border - catamaran</t>
  </si>
  <si>
    <t>Genevieve (not visible) -white, navy blue canvas</t>
  </si>
  <si>
    <t>Lady Russell</t>
  </si>
  <si>
    <t>Tern</t>
  </si>
  <si>
    <t>Metro</t>
  </si>
  <si>
    <t>Amity</t>
  </si>
  <si>
    <t>Temeré</t>
  </si>
  <si>
    <t>Northland - just bought vessel</t>
  </si>
  <si>
    <t>Leaving for Nelson soon</t>
  </si>
  <si>
    <t>Gulliver</t>
  </si>
  <si>
    <t>Witch Wind</t>
  </si>
  <si>
    <t>Unknown - white w black &amp; white stripe sail cover</t>
  </si>
  <si>
    <t>Wild Card</t>
  </si>
  <si>
    <t>Serenade</t>
  </si>
  <si>
    <t>Pacific Jewel</t>
  </si>
  <si>
    <t>Waiata</t>
  </si>
  <si>
    <t>Aria</t>
  </si>
  <si>
    <t>Hama</t>
  </si>
  <si>
    <t>4 months</t>
  </si>
  <si>
    <t>Pilgrim</t>
  </si>
  <si>
    <t>Local - from Whangaruru</t>
  </si>
  <si>
    <t>Laissez-faire II</t>
  </si>
  <si>
    <t>Exaltation</t>
  </si>
  <si>
    <t>Toroti</t>
  </si>
  <si>
    <t>Local - from Jacks Bay. Will haul out in March.</t>
  </si>
  <si>
    <t xml:space="preserve">Mandarla </t>
  </si>
  <si>
    <t>styela</t>
  </si>
  <si>
    <t>Rezzo</t>
  </si>
  <si>
    <t>Sarau</t>
  </si>
  <si>
    <t>TOS</t>
  </si>
  <si>
    <t>1 month. From Nelson.</t>
  </si>
  <si>
    <t>Torque Flight</t>
  </si>
  <si>
    <t>Alice Ambler</t>
  </si>
  <si>
    <t>Hearts'ease</t>
  </si>
  <si>
    <t>Jams</t>
  </si>
  <si>
    <t>Escapade</t>
  </si>
  <si>
    <t>Warm Ride</t>
  </si>
  <si>
    <t>Phoenix</t>
  </si>
  <si>
    <t>1 month - from Omaha</t>
  </si>
  <si>
    <t>Against All Odds</t>
  </si>
  <si>
    <t>Stella Maris</t>
  </si>
  <si>
    <t>Local - moored at Matauwhi Bay</t>
  </si>
  <si>
    <t>Ambler</t>
  </si>
  <si>
    <t xml:space="preserve">Hirondelle </t>
  </si>
  <si>
    <t>Julleen</t>
  </si>
  <si>
    <t>Surprise</t>
  </si>
  <si>
    <t>Colonist</t>
  </si>
  <si>
    <t xml:space="preserve">Compromise </t>
  </si>
  <si>
    <t>Tempo</t>
  </si>
  <si>
    <t>Local - mooring in Matauwhi Bay</t>
  </si>
  <si>
    <t>Arohena</t>
  </si>
  <si>
    <t>Julius Pleazar</t>
  </si>
  <si>
    <t>Local - moored in Matauwhi Bay</t>
  </si>
  <si>
    <t>Gannet</t>
  </si>
  <si>
    <t xml:space="preserve">Wharangi </t>
  </si>
  <si>
    <t>Unknown-light blue hull w wood trim, blue sail cvr</t>
  </si>
  <si>
    <t>Moby Dick</t>
  </si>
  <si>
    <t xml:space="preserve">Penellic </t>
  </si>
  <si>
    <t>Soñador</t>
  </si>
  <si>
    <t>Hawk</t>
  </si>
  <si>
    <t>Fantasy</t>
  </si>
  <si>
    <t>Great Vintage</t>
  </si>
  <si>
    <t xml:space="preserve">Himark </t>
  </si>
  <si>
    <t>Prism</t>
  </si>
  <si>
    <t xml:space="preserve">Scamp </t>
  </si>
  <si>
    <t xml:space="preserve">Roval </t>
  </si>
  <si>
    <t xml:space="preserve">Acapo </t>
  </si>
  <si>
    <t>Petrel 11268</t>
  </si>
  <si>
    <t xml:space="preserve">Zambra </t>
  </si>
  <si>
    <t>Paddy's Wagon</t>
  </si>
  <si>
    <t xml:space="preserve">Soprano </t>
  </si>
  <si>
    <t>Simply Red</t>
  </si>
  <si>
    <t>Cool Running</t>
  </si>
  <si>
    <t xml:space="preserve">Cantata </t>
  </si>
  <si>
    <t xml:space="preserve">Courante </t>
  </si>
  <si>
    <t>Tabbycat</t>
  </si>
  <si>
    <t xml:space="preserve">English couple. Last clean in Fiji 18 months ago. </t>
  </si>
  <si>
    <t>Freeway</t>
  </si>
  <si>
    <t>Arbitrage</t>
  </si>
  <si>
    <t>3 weeks. Recently spent 4 months in Fiji.</t>
  </si>
  <si>
    <t>Isa Lei</t>
  </si>
  <si>
    <t>Cerezo</t>
  </si>
  <si>
    <t>1 month. Cleaned in Akl before trip North</t>
  </si>
  <si>
    <t xml:space="preserve">Vaquero </t>
  </si>
  <si>
    <t>2-3 weeks</t>
  </si>
  <si>
    <t>Laissez-faire</t>
  </si>
  <si>
    <t>Melaleuca</t>
  </si>
  <si>
    <t>5 months - based in Opua for now</t>
  </si>
  <si>
    <t>Nymph</t>
  </si>
  <si>
    <t>Wavecrusher</t>
  </si>
  <si>
    <t>Wind Wand</t>
  </si>
  <si>
    <t>Woundup</t>
  </si>
  <si>
    <t>Cowrie</t>
  </si>
  <si>
    <t>Moya</t>
  </si>
  <si>
    <t>CateNZa</t>
  </si>
  <si>
    <t>Bold Spirit</t>
  </si>
  <si>
    <t>Shalimar nz</t>
  </si>
  <si>
    <t>From Wellington through coromandel (not auckland)</t>
  </si>
  <si>
    <t>Christiania</t>
  </si>
  <si>
    <t>From Te Puna - in water for a year</t>
  </si>
  <si>
    <t>Therapy</t>
  </si>
  <si>
    <t>Loose Change</t>
  </si>
  <si>
    <t>Roxanne</t>
  </si>
  <si>
    <t>Local - from Opua. Last clean in Tonga in June.</t>
  </si>
  <si>
    <t>Touch the Wind</t>
  </si>
  <si>
    <t>Local - from Kerikeri (last two years)</t>
  </si>
  <si>
    <t xml:space="preserve">Synchronicity </t>
  </si>
  <si>
    <t>Phoebe / Rostock</t>
  </si>
  <si>
    <t>Hand cleaned in Tonga 6 weeks ago. Leaving in May.</t>
  </si>
  <si>
    <t>Heremana</t>
  </si>
  <si>
    <t>From Whangaroa. Last clean in Akl after stay there</t>
  </si>
  <si>
    <t>Unknown - White with green lower hull</t>
  </si>
  <si>
    <t>Local - from English Bay</t>
  </si>
  <si>
    <t>Searover</t>
  </si>
  <si>
    <t>Wild Duck</t>
  </si>
  <si>
    <t>Jakamy</t>
  </si>
  <si>
    <t>Wild Bird</t>
  </si>
  <si>
    <t>Audacity</t>
  </si>
  <si>
    <t>Vérité</t>
  </si>
  <si>
    <t>Kakawai</t>
  </si>
  <si>
    <t>Anawai</t>
  </si>
  <si>
    <t>Sea Esta</t>
  </si>
  <si>
    <t>Royale</t>
  </si>
  <si>
    <t>Astradyne II</t>
  </si>
  <si>
    <t>Siesta</t>
  </si>
  <si>
    <t xml:space="preserve">Sapphire </t>
  </si>
  <si>
    <t xml:space="preserve">Inclination </t>
  </si>
  <si>
    <t>Amadeus</t>
  </si>
  <si>
    <t>Matrix</t>
  </si>
  <si>
    <t>2-3 months</t>
  </si>
  <si>
    <t>Tryphena Sunrise</t>
  </si>
  <si>
    <t>Latitude</t>
  </si>
  <si>
    <t>Silver Spray</t>
  </si>
  <si>
    <t>Bellagio</t>
  </si>
  <si>
    <t>Local - from Kerkeri</t>
  </si>
  <si>
    <t>Solomia</t>
  </si>
  <si>
    <t>Southern Star</t>
  </si>
  <si>
    <t>Miss Dee</t>
  </si>
  <si>
    <t xml:space="preserve">Zeppelin </t>
  </si>
  <si>
    <t>Tiri</t>
  </si>
  <si>
    <t>Shalimar</t>
  </si>
  <si>
    <t xml:space="preserve">Local - from </t>
  </si>
  <si>
    <t>Fair Hippolyta</t>
  </si>
  <si>
    <t>Local - from Whangaroa</t>
  </si>
  <si>
    <t xml:space="preserve">Nika-Sia </t>
  </si>
  <si>
    <t>10 days</t>
  </si>
  <si>
    <t>Bella</t>
  </si>
  <si>
    <t>Local - from Marsden</t>
  </si>
  <si>
    <t>Lady Jade</t>
  </si>
  <si>
    <t>1 month - from Warkworth</t>
  </si>
  <si>
    <t>Sea Swift</t>
  </si>
  <si>
    <t>Imp</t>
  </si>
  <si>
    <t>La Danza</t>
  </si>
  <si>
    <t>Jazz</t>
  </si>
  <si>
    <t>Ecstasy</t>
  </si>
  <si>
    <t>Total Control</t>
  </si>
  <si>
    <t>Unknown - yellow hull w blue lower hull</t>
  </si>
  <si>
    <t>Lady Mary</t>
  </si>
  <si>
    <t>Reel Chance</t>
  </si>
  <si>
    <t>Good Times</t>
  </si>
  <si>
    <t>Photon</t>
  </si>
  <si>
    <t>2 months. From Mahurangi.</t>
  </si>
  <si>
    <t>Underway</t>
  </si>
  <si>
    <t>Rover</t>
  </si>
  <si>
    <t>Hine-awa</t>
  </si>
  <si>
    <t>Star</t>
  </si>
  <si>
    <t xml:space="preserve">L'abri </t>
  </si>
  <si>
    <t>Lady Elsa</t>
  </si>
  <si>
    <t>Kuri II</t>
  </si>
  <si>
    <t>Kahlua II</t>
  </si>
  <si>
    <t>Outward Bound 11400</t>
  </si>
  <si>
    <t xml:space="preserve">Sundusky </t>
  </si>
  <si>
    <t>Azure Royale</t>
  </si>
  <si>
    <t xml:space="preserve">Amarillo </t>
  </si>
  <si>
    <t>Michele</t>
  </si>
  <si>
    <t>Holmeless</t>
  </si>
  <si>
    <t xml:space="preserve">Spellbound </t>
  </si>
  <si>
    <t>Solid Citizen</t>
  </si>
  <si>
    <t>Summer Cloud</t>
  </si>
  <si>
    <t>Renegade</t>
  </si>
  <si>
    <t xml:space="preserve">Caprice </t>
  </si>
  <si>
    <t>Kia Ora</t>
  </si>
  <si>
    <t xml:space="preserve">AEGI24 - white/cream 'homemade' catamaran </t>
  </si>
  <si>
    <t>Sue'Vic</t>
  </si>
  <si>
    <t xml:space="preserve">Dreamrider </t>
  </si>
  <si>
    <t xml:space="preserve">Attitude </t>
  </si>
  <si>
    <t>Quest</t>
  </si>
  <si>
    <t>Free Life MV</t>
  </si>
  <si>
    <t>Hirere 8258</t>
  </si>
  <si>
    <t>Drop D9ad Fr9d</t>
  </si>
  <si>
    <t>St. MORITZ</t>
  </si>
  <si>
    <t>Alba</t>
  </si>
  <si>
    <t>Head Quarters</t>
  </si>
  <si>
    <t>3 weeks - from xmas, leaving today</t>
  </si>
  <si>
    <t xml:space="preserve">Destiny </t>
  </si>
  <si>
    <t>Tantara</t>
  </si>
  <si>
    <t>Esperanto</t>
  </si>
  <si>
    <t>Huka</t>
  </si>
  <si>
    <t>Aslan</t>
  </si>
  <si>
    <t>Medea</t>
  </si>
  <si>
    <t>Moonwalker</t>
  </si>
  <si>
    <t>Mañana</t>
  </si>
  <si>
    <t>Genevieve</t>
  </si>
  <si>
    <t>Typee</t>
  </si>
  <si>
    <t>Nasty Business</t>
  </si>
  <si>
    <t>Windrace</t>
  </si>
  <si>
    <t>Slowtide</t>
  </si>
  <si>
    <t>Commodore</t>
  </si>
  <si>
    <t>Compadre</t>
  </si>
  <si>
    <t>Aquarius</t>
  </si>
  <si>
    <t>Sylvia</t>
  </si>
  <si>
    <t>Sanson</t>
  </si>
  <si>
    <t>Unknown - White w red trim</t>
  </si>
  <si>
    <t>Tail Wind</t>
  </si>
  <si>
    <t>Unknown - White w red lower stripe &amp; black canopy</t>
  </si>
  <si>
    <t xml:space="preserve">Koncerto </t>
  </si>
  <si>
    <t>Arjuna</t>
  </si>
  <si>
    <t>Local - from Kerikeri River</t>
  </si>
  <si>
    <t>Norma</t>
  </si>
  <si>
    <t>From Noumea. Last antifoul in Tga. In BOI 2 months</t>
  </si>
  <si>
    <t>Vasanta</t>
  </si>
  <si>
    <t>Mirifique</t>
  </si>
  <si>
    <t>3 months</t>
  </si>
  <si>
    <t>Bonnie Lass</t>
  </si>
  <si>
    <t>Vigilant</t>
  </si>
  <si>
    <t>Felicity</t>
  </si>
  <si>
    <t>Endless Summer 2</t>
  </si>
  <si>
    <t>Imagination</t>
  </si>
  <si>
    <t>Shearwater</t>
  </si>
  <si>
    <t>Puck</t>
  </si>
  <si>
    <t>Sarah-Jane</t>
  </si>
  <si>
    <t>Regulus</t>
  </si>
  <si>
    <t xml:space="preserve">Sobriquet </t>
  </si>
  <si>
    <t>Destiny</t>
  </si>
  <si>
    <t>Noble Princess</t>
  </si>
  <si>
    <t xml:space="preserve">Skellig </t>
  </si>
  <si>
    <t>Priority</t>
  </si>
  <si>
    <t>Miro</t>
  </si>
  <si>
    <t>Goodness</t>
  </si>
  <si>
    <t xml:space="preserve">Waitiki </t>
  </si>
  <si>
    <t>Snow Cloud</t>
  </si>
  <si>
    <t xml:space="preserve">Abacus </t>
  </si>
  <si>
    <t>Mon Tauk</t>
  </si>
  <si>
    <t>Natural High</t>
  </si>
  <si>
    <t xml:space="preserve">Arahi </t>
  </si>
  <si>
    <t xml:space="preserve">Zoet </t>
  </si>
  <si>
    <t>Macro</t>
  </si>
  <si>
    <t xml:space="preserve">Harum Scarum </t>
  </si>
  <si>
    <t>Sea H 13001</t>
  </si>
  <si>
    <t>Stephanie J</t>
  </si>
  <si>
    <t>Unknown - white with wood &amp; glass doors, black net</t>
  </si>
  <si>
    <t>Outsider</t>
  </si>
  <si>
    <t>Undaria</t>
  </si>
  <si>
    <t>Silver Belle</t>
  </si>
  <si>
    <t>Cavalli</t>
  </si>
  <si>
    <t>Kama Lua</t>
  </si>
  <si>
    <t>Unknown - white w red lower stripe, black canvas</t>
  </si>
  <si>
    <t>Sheba II</t>
  </si>
  <si>
    <t>Commercial Fishing Vessel</t>
  </si>
  <si>
    <t>T-Rex</t>
  </si>
  <si>
    <t>Waimaro - MNZ128987</t>
  </si>
  <si>
    <t xml:space="preserve">Ludique </t>
  </si>
  <si>
    <t>Minstrel</t>
  </si>
  <si>
    <t>SeaHawk</t>
  </si>
  <si>
    <t>Limited Edition</t>
  </si>
  <si>
    <t>Carolina</t>
  </si>
  <si>
    <t xml:space="preserve">Albatross </t>
  </si>
  <si>
    <t>Unknown - White with maroon hull and blue stripe</t>
  </si>
  <si>
    <t>River Rat</t>
  </si>
  <si>
    <t>Cara Mia</t>
  </si>
  <si>
    <t>Local - from Parua Bay</t>
  </si>
  <si>
    <t>Morning Star VII</t>
  </si>
  <si>
    <t>Local - Kerikeri river. Last cleaned in Darwin, AU</t>
  </si>
  <si>
    <t>Masumi</t>
  </si>
  <si>
    <t>Bay Lady</t>
  </si>
  <si>
    <t>Windflower</t>
  </si>
  <si>
    <t>Local - from Northland</t>
  </si>
  <si>
    <t>Timeless</t>
  </si>
  <si>
    <t>Kon-Tiki</t>
  </si>
  <si>
    <t>Scott Colville</t>
  </si>
  <si>
    <t>Nerissa</t>
  </si>
  <si>
    <t>Unknown - pale yellow hull, white top &amp; sail cover</t>
  </si>
  <si>
    <t>Reflections II</t>
  </si>
  <si>
    <t>Refuge II</t>
  </si>
  <si>
    <t>Delphinus</t>
  </si>
  <si>
    <t xml:space="preserve">Waikopou </t>
  </si>
  <si>
    <t>Mary Harrigan</t>
  </si>
  <si>
    <t xml:space="preserve">Franda </t>
  </si>
  <si>
    <t>Tight Five</t>
  </si>
  <si>
    <t xml:space="preserve">Kathleen </t>
  </si>
  <si>
    <t>Unknown - white w peach side, blue roof</t>
  </si>
  <si>
    <t xml:space="preserve">Arran </t>
  </si>
  <si>
    <t>Zora II</t>
  </si>
  <si>
    <t>May Marie</t>
  </si>
  <si>
    <t>Aquarius 4765</t>
  </si>
  <si>
    <t xml:space="preserve">Chiastra </t>
  </si>
  <si>
    <t>Betelgeuse II</t>
  </si>
  <si>
    <t xml:space="preserve">Waitete </t>
  </si>
  <si>
    <t>CHAR-RO</t>
  </si>
  <si>
    <t>Maungataruffi</t>
  </si>
  <si>
    <t xml:space="preserve">Cipher </t>
  </si>
  <si>
    <t>Hot Rod</t>
  </si>
  <si>
    <t>Romans. 1-20 (MNZ135247ROMANS)</t>
  </si>
  <si>
    <t>El Diablo</t>
  </si>
  <si>
    <t>Ultimate Game</t>
  </si>
  <si>
    <t>Goblin</t>
  </si>
  <si>
    <t>Riviera - White with black lower stripe</t>
  </si>
  <si>
    <t>From Whangarei</t>
  </si>
  <si>
    <t>Touché</t>
  </si>
  <si>
    <t>Calamares</t>
  </si>
  <si>
    <t>1 month. Last clean in Fiji. From Austria.</t>
  </si>
  <si>
    <t>Happy Spirit II</t>
  </si>
  <si>
    <t>Okahu Passage, Waewaetorea Island, Outer BOI</t>
  </si>
  <si>
    <t>Kairos II</t>
  </si>
  <si>
    <t>Unknown - White w green stripe &amp; blue cabin</t>
  </si>
  <si>
    <t>Unknown - dark navy blue hull, white top</t>
  </si>
  <si>
    <t>Tui</t>
  </si>
  <si>
    <t>Panope</t>
  </si>
  <si>
    <t xml:space="preserve">Kismet </t>
  </si>
  <si>
    <t>Hope</t>
  </si>
  <si>
    <t xml:space="preserve">Marika </t>
  </si>
  <si>
    <t xml:space="preserve">Shanergra </t>
  </si>
  <si>
    <t xml:space="preserve">Huntress </t>
  </si>
  <si>
    <t>Shangri-La</t>
  </si>
  <si>
    <t>Valiant 484</t>
  </si>
  <si>
    <t xml:space="preserve">Myzone </t>
  </si>
  <si>
    <t xml:space="preserve">Lochinvar </t>
  </si>
  <si>
    <t xml:space="preserve">Bon Vivant </t>
  </si>
  <si>
    <t>Ninja</t>
  </si>
  <si>
    <t>Ranaui</t>
  </si>
  <si>
    <t>Kikitoo</t>
  </si>
  <si>
    <t xml:space="preserve">Snowgoose </t>
  </si>
  <si>
    <t xml:space="preserve">Serenade </t>
  </si>
  <si>
    <t>West Wind V</t>
  </si>
  <si>
    <t>Deep</t>
  </si>
  <si>
    <t>Nereus</t>
  </si>
  <si>
    <t>Morning Light</t>
  </si>
  <si>
    <t xml:space="preserve">Pikorua </t>
  </si>
  <si>
    <t>Unknown - white with blue bow, top boarded up</t>
  </si>
  <si>
    <t>Daemon</t>
  </si>
  <si>
    <t>Phemie Jane</t>
  </si>
  <si>
    <t>Tullamore Dew</t>
  </si>
  <si>
    <t>Whakatā</t>
  </si>
  <si>
    <t>La Vita</t>
  </si>
  <si>
    <t>'The' Bezz Knezz</t>
  </si>
  <si>
    <t>Grace</t>
  </si>
  <si>
    <t>Grey Duck</t>
  </si>
  <si>
    <t>Local - from Russell, next haul out in winter</t>
  </si>
  <si>
    <t>Impetuous</t>
  </si>
  <si>
    <t>For the Summer,last diver clean in Tonga 1monthago</t>
  </si>
  <si>
    <t>Kotahi</t>
  </si>
  <si>
    <t>Fallon</t>
  </si>
  <si>
    <t>Shiralee</t>
  </si>
  <si>
    <t>Unknown - White with red trim and red sail covers</t>
  </si>
  <si>
    <t xml:space="preserve">Dragonfly </t>
  </si>
  <si>
    <t>Elmo</t>
  </si>
  <si>
    <t>Zig Zag</t>
  </si>
  <si>
    <t>Local Charter</t>
  </si>
  <si>
    <t>Te Piha</t>
  </si>
  <si>
    <t>barge</t>
  </si>
  <si>
    <t xml:space="preserve">Seclusion </t>
  </si>
  <si>
    <t>Visited Auckland April 2015, stop in Whangamumu.</t>
  </si>
  <si>
    <t>Smash Palace</t>
  </si>
  <si>
    <t xml:space="preserve">Breakaway </t>
  </si>
  <si>
    <t>Unknown - white with pale cream top, black netting</t>
  </si>
  <si>
    <t xml:space="preserve">Tarua </t>
  </si>
  <si>
    <t>Lola May</t>
  </si>
  <si>
    <t>Sigawale II</t>
  </si>
  <si>
    <t>Fastlane</t>
  </si>
  <si>
    <t xml:space="preserve">Wairakau </t>
  </si>
  <si>
    <t>Sea High</t>
  </si>
  <si>
    <t>Seven Seas 8121</t>
  </si>
  <si>
    <t>Huia</t>
  </si>
  <si>
    <t>Shannara</t>
  </si>
  <si>
    <t>Toccata</t>
  </si>
  <si>
    <t>2 months, came from Tonga, haul out Opua in 1 week</t>
  </si>
  <si>
    <t>Hapa Na Sasa</t>
  </si>
  <si>
    <t>2 months. Cleaned in Tonga in November. Frm Germny</t>
  </si>
  <si>
    <t xml:space="preserve">Demelza </t>
  </si>
  <si>
    <t>Oriental Lady</t>
  </si>
  <si>
    <t>Paula</t>
  </si>
  <si>
    <t>Olivia-Grace</t>
  </si>
  <si>
    <t>Rebound</t>
  </si>
  <si>
    <t>Unknown - blue hull with wood trim: Tankar...</t>
  </si>
  <si>
    <t>Freerunner</t>
  </si>
  <si>
    <t>Navigator</t>
  </si>
  <si>
    <t xml:space="preserve">Permanent </t>
  </si>
  <si>
    <t>Escape Artist</t>
  </si>
  <si>
    <t>Simpatico</t>
  </si>
  <si>
    <t>Hauling out in February</t>
  </si>
  <si>
    <t>Ma-tori</t>
  </si>
  <si>
    <t>Amy</t>
  </si>
  <si>
    <t>Access</t>
  </si>
  <si>
    <t xml:space="preserve">Yabadoo </t>
  </si>
  <si>
    <t xml:space="preserve">Sundari </t>
  </si>
  <si>
    <t>Black Pearl</t>
  </si>
  <si>
    <t>Sea Jay</t>
  </si>
  <si>
    <t xml:space="preserve">Ngapuhi </t>
  </si>
  <si>
    <t xml:space="preserve">Tempus Fugit </t>
  </si>
  <si>
    <t>Unknown - white with peach roof, white netting</t>
  </si>
  <si>
    <t>Fluenta</t>
  </si>
  <si>
    <t>Little Squilax</t>
  </si>
  <si>
    <t>Cambiando</t>
  </si>
  <si>
    <t>Local-lives onboard. Boat usually based in Russell</t>
  </si>
  <si>
    <t xml:space="preserve">Lynchmob </t>
  </si>
  <si>
    <t>Unknown - white with navy blue hull and trim</t>
  </si>
  <si>
    <t>Sea Clipper</t>
  </si>
  <si>
    <t>Platino</t>
  </si>
  <si>
    <t>4-5 months</t>
  </si>
  <si>
    <t>Siphon</t>
  </si>
  <si>
    <t>Catfisher</t>
  </si>
  <si>
    <t>2-3 days. Stopover on way 2 Noumea 2 fix something</t>
  </si>
  <si>
    <t>Dan Kiwi Kolding</t>
  </si>
  <si>
    <t>Double Rise</t>
  </si>
  <si>
    <t>Journey</t>
  </si>
  <si>
    <t>Until May. Will haul out within next month.</t>
  </si>
  <si>
    <t>Tess</t>
  </si>
  <si>
    <t>Local - from Parekura but not on mooring right now</t>
  </si>
  <si>
    <t>Unknown - White with cream outlines, blue sail</t>
  </si>
  <si>
    <t>Ef Pos</t>
  </si>
  <si>
    <t>Genieve II</t>
  </si>
  <si>
    <t>JusT-us</t>
  </si>
  <si>
    <t>Based in Matauwhi Bay for the last year. Akl prior</t>
  </si>
  <si>
    <t>Unknown- White w cream top, light brown sail cover</t>
  </si>
  <si>
    <t>Rumbletum (white w black lower hull)</t>
  </si>
  <si>
    <t>Unknown - White with yellow edge and blue top</t>
  </si>
  <si>
    <t>Aroha IV</t>
  </si>
  <si>
    <t>Tane Moana 63114</t>
  </si>
  <si>
    <t xml:space="preserve">Vartern </t>
  </si>
  <si>
    <t xml:space="preserve">Foooo </t>
  </si>
  <si>
    <t>Sea Mite</t>
  </si>
  <si>
    <t>Unknown - grey barge with ramp</t>
  </si>
  <si>
    <t>Shaheen</t>
  </si>
  <si>
    <t>Suitsus</t>
  </si>
  <si>
    <t>Uncle Albert</t>
  </si>
  <si>
    <t>Unknown - white with blue canopy &amp; blue portholes</t>
  </si>
  <si>
    <t>Yvonne</t>
  </si>
  <si>
    <t>Kina</t>
  </si>
  <si>
    <t>Crackerjack</t>
  </si>
  <si>
    <t>Margaret Joy</t>
  </si>
  <si>
    <t>Desiderata</t>
  </si>
  <si>
    <t>Tara</t>
  </si>
  <si>
    <t>Unknown - White with teal lower hull</t>
  </si>
  <si>
    <t xml:space="preserve">Trespasser </t>
  </si>
  <si>
    <t>Carnaby</t>
  </si>
  <si>
    <t>Local - from Parekura Bay</t>
  </si>
  <si>
    <t>Siome</t>
  </si>
  <si>
    <t>Maui</t>
  </si>
  <si>
    <t xml:space="preserve">Azarmyth </t>
  </si>
  <si>
    <t>Lone Bird</t>
  </si>
  <si>
    <t>Amazing Grace</t>
  </si>
  <si>
    <t>Phantasy</t>
  </si>
  <si>
    <t>Mufasa</t>
  </si>
  <si>
    <t>Eclipse 86182</t>
  </si>
  <si>
    <t>Chieftain</t>
  </si>
  <si>
    <t>Ichthus</t>
  </si>
  <si>
    <t>Escada</t>
  </si>
  <si>
    <t>Dianthus</t>
  </si>
  <si>
    <t>Laissez Faire</t>
  </si>
  <si>
    <t>Auckland - Gulf Harbour</t>
  </si>
  <si>
    <t>Dont know</t>
  </si>
  <si>
    <t>Peregrine</t>
  </si>
  <si>
    <t>C's The Day</t>
  </si>
  <si>
    <t>Varekai</t>
  </si>
  <si>
    <t>Lives onboard permanently, travels round Northland</t>
  </si>
  <si>
    <t>Buxey</t>
  </si>
  <si>
    <t>Opus IV</t>
  </si>
  <si>
    <t>Kathy 4319</t>
  </si>
  <si>
    <t>Liberty (not seen)-white w cream top, green stripe</t>
  </si>
  <si>
    <t>Unknown - white with cream top roof, white netting</t>
  </si>
  <si>
    <t>Nauti 'n' Nice</t>
  </si>
  <si>
    <t xml:space="preserve">Raiatea </t>
  </si>
  <si>
    <t>MSA130441</t>
  </si>
  <si>
    <t>Cassie M</t>
  </si>
  <si>
    <t>Tillerman</t>
  </si>
  <si>
    <t>Unknown - white with orange stripe</t>
  </si>
  <si>
    <t>Tutukaka - blue stripe &amp; dark red hull</t>
  </si>
  <si>
    <t>Unknown - blue hull, cray boat</t>
  </si>
  <si>
    <t>Passim</t>
  </si>
  <si>
    <t>Uncle Remus</t>
  </si>
  <si>
    <t>Mistral</t>
  </si>
  <si>
    <t>Rhythm</t>
  </si>
  <si>
    <t>Saint Paul</t>
  </si>
  <si>
    <t xml:space="preserve">Drumbeat </t>
  </si>
  <si>
    <t>Unknown - white with cream top</t>
  </si>
  <si>
    <t>Jeanie B 62313</t>
  </si>
  <si>
    <t>Faith</t>
  </si>
  <si>
    <t>Unknown - white w 2 green stripes, green spiniker</t>
  </si>
  <si>
    <t>Gipsy 6212</t>
  </si>
  <si>
    <t>Sea Echo</t>
  </si>
  <si>
    <t>Albatruck</t>
  </si>
  <si>
    <t xml:space="preserve">Razorblade </t>
  </si>
  <si>
    <t>Miss Brett</t>
  </si>
  <si>
    <t>Minuet</t>
  </si>
  <si>
    <t>Sjöström</t>
  </si>
  <si>
    <t>Oneida</t>
  </si>
  <si>
    <t>Skana</t>
  </si>
  <si>
    <t>Playmate</t>
  </si>
  <si>
    <t xml:space="preserve">Nyuggel </t>
  </si>
  <si>
    <t xml:space="preserve">Habeba </t>
  </si>
  <si>
    <t>Unknown - Peach hull, grey deck, white cabin</t>
  </si>
  <si>
    <t xml:space="preserve">Naiades </t>
  </si>
  <si>
    <t>Feng Shui</t>
  </si>
  <si>
    <t>Frances I</t>
  </si>
  <si>
    <t xml:space="preserve">Massonia </t>
  </si>
  <si>
    <t>Sandra Fay 8463</t>
  </si>
  <si>
    <t xml:space="preserve">Karamia </t>
  </si>
  <si>
    <t xml:space="preserve">Te Moananui </t>
  </si>
  <si>
    <t>Aurora</t>
  </si>
  <si>
    <t>Local - usually moored in Houhora, M27</t>
  </si>
  <si>
    <t>Te Quila</t>
  </si>
  <si>
    <t>Unknown - white w light blue roof, navyblue canvas</t>
  </si>
  <si>
    <t>Companion</t>
  </si>
  <si>
    <t>Unknown - white with orange roof</t>
  </si>
  <si>
    <t>Dream 'n' Time</t>
  </si>
  <si>
    <t>Emerald Isle 8266</t>
  </si>
  <si>
    <t>Kamahl</t>
  </si>
  <si>
    <t>Aqua Gemini</t>
  </si>
  <si>
    <t>Play On</t>
  </si>
  <si>
    <t>Yellow Ribbon</t>
  </si>
  <si>
    <t>Unknown - white with aqua stripe near waterline</t>
  </si>
  <si>
    <t>Unknown - white hull and cream top</t>
  </si>
  <si>
    <t>Lady Dems</t>
  </si>
  <si>
    <t>Mahunui</t>
  </si>
  <si>
    <t>N. Seacoon</t>
  </si>
  <si>
    <t>Unknown - White with maroon lower hull. Old.</t>
  </si>
  <si>
    <t>Vision III</t>
  </si>
  <si>
    <t>The Two Of Us</t>
  </si>
  <si>
    <t>Sagitta</t>
  </si>
  <si>
    <t>Unknown - dark green hull, white top</t>
  </si>
  <si>
    <t>MNZ135249B2 - barge</t>
  </si>
  <si>
    <t>House boat - light cream in colour</t>
  </si>
  <si>
    <t xml:space="preserve">Songlines </t>
  </si>
  <si>
    <t>Charters - M.S.A.105732</t>
  </si>
  <si>
    <t>Sea Steed</t>
  </si>
  <si>
    <t>Southbound</t>
  </si>
  <si>
    <t>Gypsy</t>
  </si>
  <si>
    <t>Rebel</t>
  </si>
  <si>
    <t>TIMOG</t>
  </si>
  <si>
    <t>SunArrow</t>
  </si>
  <si>
    <t>Koncerto (name only on tender)</t>
  </si>
  <si>
    <t>Unknown - Green hull (patchy paint) w red sail cvr</t>
  </si>
  <si>
    <t>Oniva</t>
  </si>
  <si>
    <t>White Rose</t>
  </si>
  <si>
    <t>Eagle</t>
  </si>
  <si>
    <t>Trinket</t>
  </si>
  <si>
    <t>Philip V</t>
  </si>
  <si>
    <t>Kai-Toa</t>
  </si>
  <si>
    <t>Leah</t>
  </si>
  <si>
    <t>Tainui</t>
  </si>
  <si>
    <t>Unknown - grey/black hull w cream top. No mast.</t>
  </si>
  <si>
    <t>Unknown - pale blue/grey hull, white sails</t>
  </si>
  <si>
    <t>Unknown - pale yellow hull w green trim &amp; sail cvr</t>
  </si>
  <si>
    <t>Jema</t>
  </si>
  <si>
    <t>Free Bird</t>
  </si>
  <si>
    <t>Dabble</t>
  </si>
  <si>
    <t>Unknown - green hull with brown cabin</t>
  </si>
  <si>
    <t>Unknown - white with grey sail cover</t>
  </si>
  <si>
    <t xml:space="preserve">Queenie </t>
  </si>
  <si>
    <t xml:space="preserve">Bimani </t>
  </si>
  <si>
    <t>Unknown - white w green lower hull &amp; navy sail cvr</t>
  </si>
  <si>
    <t>Unknown-blue/green hull, light blue paint patches</t>
  </si>
  <si>
    <t>Freedom</t>
  </si>
  <si>
    <t xml:space="preserve">Huatahi </t>
  </si>
  <si>
    <t xml:space="preserve">Ioshac </t>
  </si>
  <si>
    <t>Sprig</t>
  </si>
  <si>
    <t xml:space="preserve">Eudora </t>
  </si>
  <si>
    <t>Lives aboard in Whangaroa or around Northland</t>
  </si>
  <si>
    <t xml:space="preserve">Twins </t>
  </si>
  <si>
    <t>Unknown - white with black stripe along hull top</t>
  </si>
  <si>
    <t>Twilight Express II</t>
  </si>
  <si>
    <t>Unknown - white with light blue roof</t>
  </si>
  <si>
    <t>Unknown - white w navy blue border noting: 32426</t>
  </si>
  <si>
    <t xml:space="preserve">Anakiwi </t>
  </si>
  <si>
    <t xml:space="preserve">Patience </t>
  </si>
  <si>
    <t>Outrage</t>
  </si>
  <si>
    <t>Unknown - white with dark olive green canvas</t>
  </si>
  <si>
    <t xml:space="preserve">Venture </t>
  </si>
  <si>
    <t>Pippa</t>
  </si>
  <si>
    <t>Unknown - white w brown windows &amp; lower hull</t>
  </si>
  <si>
    <t>Unknown - white w peach top</t>
  </si>
  <si>
    <t xml:space="preserve">Ventora </t>
  </si>
  <si>
    <t>Unknown - white with white canvas</t>
  </si>
  <si>
    <t>Debra Lee 10645</t>
  </si>
  <si>
    <t>Hautiu (S&amp;S)</t>
  </si>
  <si>
    <t xml:space="preserve">Amarula </t>
  </si>
  <si>
    <t>Pukenui Pilot</t>
  </si>
  <si>
    <t xml:space="preserve">Mistletoe </t>
  </si>
  <si>
    <t>Rona G</t>
  </si>
  <si>
    <t>Insight</t>
  </si>
  <si>
    <t>Sea Tour</t>
  </si>
  <si>
    <t xml:space="preserve">Mohican </t>
  </si>
  <si>
    <t xml:space="preserve">Corranda </t>
  </si>
  <si>
    <t>Smokin Joe</t>
  </si>
  <si>
    <t>MSA121643</t>
  </si>
  <si>
    <t xml:space="preserve">Lynnrae </t>
  </si>
  <si>
    <t>Onepu 63873</t>
  </si>
  <si>
    <t>Ramāge</t>
  </si>
  <si>
    <t xml:space="preserve">Moeroa </t>
  </si>
  <si>
    <t>Unknown - white w blue canvas &amp; sail cover</t>
  </si>
  <si>
    <t>Unknown - white w torn blue canvas, no sails</t>
  </si>
  <si>
    <t>Hultje</t>
  </si>
  <si>
    <t>Unknown - pale pink hull and pale green cabin</t>
  </si>
  <si>
    <t>Te Rauparaha</t>
  </si>
  <si>
    <t>Ante III</t>
  </si>
  <si>
    <t>Hiaroa</t>
  </si>
  <si>
    <t>Omicron</t>
  </si>
  <si>
    <t>Unknown- White with green lower hull, grey tarp.</t>
  </si>
  <si>
    <t>Unknown- White with black lower hull, blue sail</t>
  </si>
  <si>
    <t>Spirit-Wind II</t>
  </si>
  <si>
    <t>Dalmacia</t>
  </si>
  <si>
    <t xml:space="preserve">Satisfaction </t>
  </si>
  <si>
    <t>hileas TL - Passe Partout</t>
  </si>
  <si>
    <t>From Marsden Cove, only been in the water a week</t>
  </si>
  <si>
    <t>Wave Rider</t>
  </si>
  <si>
    <t>2 weeks - from Taupo - trailer boat</t>
  </si>
  <si>
    <t>La Clandestine Jet</t>
  </si>
  <si>
    <t>2 weeks - diver clean a week ago</t>
  </si>
  <si>
    <t>Estasi</t>
  </si>
  <si>
    <t>3-4 weeks</t>
  </si>
  <si>
    <t>White Hawk</t>
  </si>
  <si>
    <t>1year. Last clean in Tonga 2weeks ago. American.</t>
  </si>
  <si>
    <t>Swooper</t>
  </si>
  <si>
    <t>Vanquish</t>
  </si>
  <si>
    <t>Nirvana</t>
  </si>
  <si>
    <t>Local - boat stays in Opua, owner from Whangarei</t>
  </si>
  <si>
    <t>Oecia</t>
  </si>
  <si>
    <t>3 weeks. Put in water a week ago. From Te Atatu.</t>
  </si>
  <si>
    <t>The Boardroom</t>
  </si>
  <si>
    <t>2 weeks then to Marlborough. Spent time in Marsden</t>
  </si>
  <si>
    <t xml:space="preserve">REFUSED INSPECTION </t>
  </si>
  <si>
    <t>Unknown - Red hull with green sail cover</t>
  </si>
  <si>
    <t>Unknown</t>
  </si>
  <si>
    <t>Dream Spinner</t>
  </si>
  <si>
    <t>Northland - not going anywhere,prop prob cant move</t>
  </si>
  <si>
    <t>Chesapeake</t>
  </si>
  <si>
    <t>Unknown - white with brown trim and lower hull</t>
  </si>
  <si>
    <t>Locals getting a feed of mussels off the hull</t>
  </si>
  <si>
    <t>Arethusa</t>
  </si>
  <si>
    <t>Cloud 9</t>
  </si>
  <si>
    <t xml:space="preserve">Malsaga </t>
  </si>
  <si>
    <t>Local - from Opua. Will haul out next week.</t>
  </si>
  <si>
    <t>Courage</t>
  </si>
  <si>
    <t>Salsa</t>
  </si>
  <si>
    <t>Local - from Jacks Bay</t>
  </si>
  <si>
    <t>Happy Hour</t>
  </si>
  <si>
    <t>Auckland- Manukau</t>
  </si>
  <si>
    <t>2 weeks. From dry stack in Mt Wellington, Akl.</t>
  </si>
  <si>
    <t>Quid Non</t>
  </si>
  <si>
    <t>Local - from Whangarei. Just put back in water.</t>
  </si>
  <si>
    <t>Taurima</t>
  </si>
  <si>
    <t>Boreal</t>
  </si>
  <si>
    <t>Silver Lining</t>
  </si>
  <si>
    <t>Local - from Parekura Bay. Will haul out in a mnth</t>
  </si>
  <si>
    <t>Time</t>
  </si>
  <si>
    <t>Opus Seven</t>
  </si>
  <si>
    <t>Thirsty Work</t>
  </si>
  <si>
    <t>Midnight Runner</t>
  </si>
  <si>
    <t>Mystical</t>
  </si>
  <si>
    <t>Unknown - grey hull w white top</t>
  </si>
  <si>
    <t>Unknown - white with navy blue stripe</t>
  </si>
  <si>
    <t>Moomba</t>
  </si>
  <si>
    <t>Lady Helen</t>
  </si>
  <si>
    <t>Seagull</t>
  </si>
  <si>
    <t>Total by length</t>
  </si>
  <si>
    <t>Total by type of vessel</t>
  </si>
  <si>
    <t>Vessel type as % total</t>
  </si>
  <si>
    <t>Vessel length % total</t>
  </si>
  <si>
    <t>Assumptions</t>
  </si>
  <si>
    <t>Hail out and return</t>
  </si>
  <si>
    <t>Waterblast clean</t>
  </si>
  <si>
    <t>Recreation</t>
  </si>
  <si>
    <t>Commercial</t>
  </si>
  <si>
    <t>Hardstand</t>
  </si>
  <si>
    <t>Maximum charges for haul out, wash and storage of vessels</t>
  </si>
  <si>
    <t>Source: Ingils et al (2012)</t>
  </si>
  <si>
    <t>Vessel length % total based on survey of 857</t>
  </si>
  <si>
    <t>Estimated number of vessels</t>
  </si>
  <si>
    <t>Cost of cleaning per vessel ($)</t>
  </si>
  <si>
    <t>Distribution of vessels by LOF</t>
  </si>
  <si>
    <t>2. Use haul out and waterblast clean cost as maximum</t>
  </si>
  <si>
    <t>Vessel length (m)</t>
  </si>
  <si>
    <t>Breakdown of costs</t>
  </si>
  <si>
    <t>Total cost per vessel length</t>
  </si>
  <si>
    <r>
      <t>Mean proportion boats in LOF</t>
    </r>
    <r>
      <rPr>
        <vertAlign val="superscript"/>
        <sz val="11"/>
        <color theme="1"/>
        <rFont val="Calibri"/>
        <family val="2"/>
        <scheme val="minor"/>
      </rPr>
      <t>1</t>
    </r>
  </si>
  <si>
    <t>Open sea/ocean</t>
  </si>
  <si>
    <t>Continental shelf</t>
  </si>
  <si>
    <t>Reefs</t>
  </si>
  <si>
    <t>Mangroves</t>
  </si>
  <si>
    <t>ES category</t>
  </si>
  <si>
    <t xml:space="preserve">Northland's coastal waters contain the highest diversity of fish and invertebrates of any region in mainland New Zealand, and contain marine ecosystems of national and regional importance.  </t>
  </si>
  <si>
    <t>Total by time since last hull out and wash</t>
  </si>
  <si>
    <t>Average length of time</t>
  </si>
  <si>
    <t>Avg LOF score</t>
  </si>
  <si>
    <t xml:space="preserve">Calculation of length of time </t>
  </si>
  <si>
    <t>Calculation of cost imposed on Northland vessel owners</t>
  </si>
  <si>
    <t>1. That distribution of total Northland vessels matchs distribution of those surved</t>
  </si>
  <si>
    <t>Based on all vessels</t>
  </si>
  <si>
    <t>Excluding those identified from outside the region</t>
  </si>
  <si>
    <t>Distribution of all vessels by type and length</t>
  </si>
  <si>
    <t>Distribution of vessels by type and length, excluding those from outside the region</t>
  </si>
  <si>
    <t>Current cost</t>
  </si>
  <si>
    <t>LOF 1</t>
  </si>
  <si>
    <t>LOF 2</t>
  </si>
  <si>
    <t>LOF 3</t>
  </si>
  <si>
    <t>3. Northland vessel owners do this once every 18 months already.</t>
  </si>
  <si>
    <t>LOF 0</t>
  </si>
  <si>
    <t>Total cost of cleaning Northland vessels ($)</t>
  </si>
  <si>
    <t xml:space="preserve">Calculation of per annum cost of cleaning </t>
  </si>
  <si>
    <t>Frequency of cleaning (months)</t>
  </si>
  <si>
    <t>None</t>
  </si>
  <si>
    <t>Current - Incursion response only</t>
  </si>
  <si>
    <t>Raw Values</t>
  </si>
  <si>
    <t>Present values of different regimes</t>
  </si>
  <si>
    <t>Regime</t>
  </si>
  <si>
    <t xml:space="preserve">Random checking of vessels to ensure compliance with requirements.  Assumes 200 vessels are randomly checked annually at a cost of $500 per vessel. Half are found to be in breach and owner charged.  </t>
  </si>
  <si>
    <t>Current</t>
  </si>
  <si>
    <t>Management regime</t>
  </si>
  <si>
    <t>The quality of marine biosecurity management is dependent on access to good science advice.</t>
  </si>
  <si>
    <t>Response to pest populations, based on current annual costs. Assume would reduce if vector management was effective.  </t>
  </si>
  <si>
    <t>Variables</t>
  </si>
  <si>
    <t>Estimated loss</t>
  </si>
  <si>
    <t>Present value</t>
  </si>
  <si>
    <t>Present Value (PV) discount rate</t>
  </si>
  <si>
    <t>Sum Ru by year</t>
  </si>
  <si>
    <t>D2. Cost</t>
  </si>
  <si>
    <t xml:space="preserve">Current </t>
  </si>
  <si>
    <t>D1. Rm by management regime</t>
  </si>
  <si>
    <t>Benefit</t>
  </si>
  <si>
    <t>b. Assumption that progression to impact (I) at year 10 occurs in even increments.</t>
  </si>
  <si>
    <t>Sum Rm LOF 1</t>
  </si>
  <si>
    <t>Sum Rm LOF 2</t>
  </si>
  <si>
    <t>Sum Rm LOF 3</t>
  </si>
  <si>
    <t>LOF Current regime</t>
  </si>
  <si>
    <t>Sum Rm Current</t>
  </si>
  <si>
    <t>Sum Rm LOF 0</t>
  </si>
  <si>
    <t>Target residual risk</t>
  </si>
  <si>
    <t>($M)</t>
  </si>
  <si>
    <t>E. Benefit-cost analysis of alternative management regimes over a 10 year period</t>
  </si>
  <si>
    <t>a. Estimates calculated as present value of annual benefits and costs over a 10 year period.</t>
  </si>
  <si>
    <t>b. Note that 'worst-case' is assumed as low efficacy</t>
  </si>
  <si>
    <t xml:space="preserve">c. Calcs are based on even spread of 10% realisation of Impact (I) per year, which are linked to all calcs above. </t>
  </si>
  <si>
    <t>Benefit/Cost ratio</t>
  </si>
  <si>
    <t>Key assumptions</t>
  </si>
  <si>
    <r>
      <t>Pi</t>
    </r>
    <r>
      <rPr>
        <vertAlign val="subscript"/>
        <sz val="11"/>
        <color theme="1"/>
        <rFont val="Calibri"/>
        <family val="2"/>
        <scheme val="minor"/>
      </rPr>
      <t>(other)</t>
    </r>
  </si>
  <si>
    <t>Assumed Pi</t>
  </si>
  <si>
    <t>Efficacy 1 - Probability of treatment success</t>
  </si>
  <si>
    <t>Efficacy 2 - Probability of uptake</t>
  </si>
  <si>
    <t>Discount rate</t>
  </si>
  <si>
    <t>Number of vessels affected</t>
  </si>
  <si>
    <t xml:space="preserve">Key estimates </t>
  </si>
  <si>
    <t>Likelihood of successful pest population control</t>
  </si>
  <si>
    <t>Antifoul</t>
  </si>
  <si>
    <t>Work in some reduction in cost due to self-cleaning</t>
  </si>
  <si>
    <t>Only apply to LOF 0 and 1</t>
  </si>
  <si>
    <t>Sources:</t>
  </si>
  <si>
    <t xml:space="preserve">https://www.landcareresearch.co.nz/__data/assets/pdf_file/0004/77062/3_2_Patterson.pdf </t>
  </si>
  <si>
    <t xml:space="preserve">www.doc.govt.nz/documents/science-and-technical/sfc326entire.pdf </t>
  </si>
  <si>
    <t xml:space="preserve">www.doc.govt.nz/documents/conservation/marine-and-coastal/northland-marine-habitat-map-report-1.pdf </t>
  </si>
  <si>
    <t>Distribution of haul out time and LOF score for vessess, excluding those from outside the region</t>
  </si>
  <si>
    <t>LOF 4</t>
  </si>
  <si>
    <t>LOF 5</t>
  </si>
  <si>
    <t>Cost of achiving</t>
  </si>
  <si>
    <t>Likelihood of marine pest being introduced in any one year</t>
  </si>
  <si>
    <t>Haul out an clean</t>
  </si>
  <si>
    <t>Anti-fouling</t>
  </si>
  <si>
    <t>Hand cleaning</t>
  </si>
  <si>
    <t>Number of months between</t>
  </si>
  <si>
    <t>Total cost to antifoul</t>
  </si>
  <si>
    <t>Total cost to handwash</t>
  </si>
  <si>
    <t>Cost of anti-foul per vessel ($)</t>
  </si>
  <si>
    <t>Cost of handwash per vessel ($)</t>
  </si>
  <si>
    <t>Total cost of hand cleaning Northland vessels ($)</t>
  </si>
  <si>
    <t>Cost of management regime</t>
  </si>
  <si>
    <t>Calculation of annual cost</t>
  </si>
  <si>
    <t>Total annual cost of Northland</t>
  </si>
  <si>
    <t>Avg annual cost per vessel</t>
  </si>
  <si>
    <t>Additional annual cost of moving to high LOF scale</t>
  </si>
  <si>
    <t>Cost of haul out cleaning per vessel ($)</t>
  </si>
  <si>
    <t>Total cost of haul out cleaning Northland vessels ($)</t>
  </si>
  <si>
    <t>Outputs (ANZSIC06) - NZSIOC level 4, Base: Dec. 2010 quarter (=1000) (Qrtly-Mar/Jun/Sep/Dec)</t>
  </si>
  <si>
    <t>Repair and Maintenance</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</si>
  <si>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</si>
  <si>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</si>
  <si>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</si>
  <si>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</si>
  <si>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</si>
  <si>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</si>
  <si>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</si>
  <si>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</si>
  <si>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</si>
  <si>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</si>
  <si>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</si>
  <si>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</si>
  <si>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</si>
  <si>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</si>
  <si>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</si>
  <si>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</si>
  <si>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</si>
  <si>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</si>
  <si>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</si>
  <si>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</si>
  <si>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</si>
  <si>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</si>
  <si>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</si>
  <si>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</si>
  <si>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</si>
  <si>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</si>
  <si>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</si>
  <si>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</si>
  <si>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</si>
  <si>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</si>
  <si>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</si>
  <si>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</si>
  <si>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r>
      <t>Table information:</t>
    </r>
    <r>
      <rPr>
        <sz val="11"/>
        <color theme="1"/>
        <rFont val="Calibri"/>
        <family val="2"/>
        <scheme val="minor"/>
      </rPr>
      <t xml:space="preserve"> </t>
    </r>
  </si>
  <si>
    <t>Units:</t>
  </si>
  <si>
    <t>Index, Magnitude = Units</t>
  </si>
  <si>
    <t>Footnotes:</t>
  </si>
  <si>
    <t>Symbols:</t>
  </si>
  <si>
    <t>.. figure not available</t>
  </si>
  <si>
    <t>C: Confidential</t>
  </si>
  <si>
    <t>E: Early Estimate</t>
  </si>
  <si>
    <t>P: Provisional</t>
  </si>
  <si>
    <t>R: Revised</t>
  </si>
  <si>
    <t>S: Suppressed</t>
  </si>
  <si>
    <t>Status flags are not displayed</t>
  </si>
  <si>
    <t>Table reference:</t>
  </si>
  <si>
    <t>PPI028AA</t>
  </si>
  <si>
    <t>Last updated:</t>
  </si>
  <si>
    <t>Source: Statistics New Zealand</t>
  </si>
  <si>
    <t>Contact: Information Centre</t>
  </si>
  <si>
    <t>Telephone: 0508 525 525</t>
  </si>
  <si>
    <t>Email:info@stats.govt.nz</t>
  </si>
  <si>
    <t>n.a.</t>
  </si>
  <si>
    <t>M</t>
  </si>
  <si>
    <t>Hikianga Harbour Upper Arms</t>
  </si>
  <si>
    <t>North Kaipara Harbour Tinopai Arm</t>
  </si>
  <si>
    <t>North Kaipara Harbour Arapaoa River</t>
  </si>
  <si>
    <t>North Kaipara Harbour Oruawharo river</t>
  </si>
  <si>
    <t>North Kaipara Harbour Otamatea Arm</t>
  </si>
  <si>
    <t>Ruakaka Estuary</t>
  </si>
  <si>
    <t>L</t>
  </si>
  <si>
    <t>North Kaipara Harbour Aviril Bank Oyster/Mangrove</t>
  </si>
  <si>
    <t>Whangarei Harbour - Marsden Cove Channel</t>
  </si>
  <si>
    <t>Rangaungu Harbour</t>
  </si>
  <si>
    <t>North Kaipara Harbour - Wairoa Arm</t>
  </si>
  <si>
    <t>Whangarei Harbour</t>
  </si>
  <si>
    <t>Tutukaka Harbour</t>
  </si>
  <si>
    <t>Whangaruru Estuary</t>
  </si>
  <si>
    <t>Whangaroa Harbour</t>
  </si>
  <si>
    <t>Herekino Harbour</t>
  </si>
  <si>
    <t>Whangape Harbour</t>
  </si>
  <si>
    <t>Hokianga Harbour</t>
  </si>
  <si>
    <t>Kerikeri Inlet PIckmere Channel shellfish bed</t>
  </si>
  <si>
    <t>Whangarei Harbour- Tamaterau to Manganese Point</t>
  </si>
  <si>
    <t>Whangarei Harbour -Onerahi flats</t>
  </si>
  <si>
    <t>Whangarei Harbour - Portland tidal flats</t>
  </si>
  <si>
    <t>Waipu Estuary</t>
  </si>
  <si>
    <t>Mangawhai Harbour</t>
  </si>
  <si>
    <t>BOI - Waitangi Estuary</t>
  </si>
  <si>
    <t>BOI - Te Haumi Estuary</t>
  </si>
  <si>
    <t>Whangarei Harbour - Mair Bank</t>
  </si>
  <si>
    <t>Whangarei Harbour - One Tree Point -Marsden Bay</t>
  </si>
  <si>
    <t>Whangarei Harbour - Snake Bank</t>
  </si>
  <si>
    <t>Whangarei Harbour - Northeastern Bays</t>
  </si>
  <si>
    <t>Whangarei Harbour - Parua Bay West</t>
  </si>
  <si>
    <t>Whangarei Harbour - Matakohe Island hores</t>
  </si>
  <si>
    <t>Whangarei Harbour- Waikaraka Mangrove area</t>
  </si>
  <si>
    <t>Whangarei Harbour - Takihiwai to Hewlett Point</t>
  </si>
  <si>
    <t>Whananaki Estuary - Upper Reaches</t>
  </si>
  <si>
    <t>BOI - Tangatapu estuary and mud flat</t>
  </si>
  <si>
    <t>Taiharuru Estuary</t>
  </si>
  <si>
    <t>Pataua Estuary</t>
  </si>
  <si>
    <t>Horhora Estuary</t>
  </si>
  <si>
    <t>Ngunguru Estuary</t>
  </si>
  <si>
    <t>Matapouri Estuary</t>
  </si>
  <si>
    <t>Houhora Harbour</t>
  </si>
  <si>
    <t>Parengarenga Harbour</t>
  </si>
  <si>
    <t>North Kaipara Harbour</t>
  </si>
  <si>
    <t>Hectares</t>
  </si>
  <si>
    <t>Rank</t>
  </si>
  <si>
    <t>Name</t>
  </si>
  <si>
    <t>OBJECTID</t>
  </si>
  <si>
    <t>Totals</t>
  </si>
  <si>
    <t>Doubtless Bay Complex reefs</t>
  </si>
  <si>
    <t>Tutukaka to Taiharuru Coast reefs</t>
  </si>
  <si>
    <t>Reef edge habitat</t>
  </si>
  <si>
    <t>Bream Head Coast reef edge</t>
  </si>
  <si>
    <t>Tutukaka to Taiharuru Coast reef edge</t>
  </si>
  <si>
    <t>Bream Head Coast reefs</t>
  </si>
  <si>
    <t>Eastern Bay of Islands - Cape Brett reef edge</t>
  </si>
  <si>
    <t>Black Rocks reef edge</t>
  </si>
  <si>
    <t>Black Rocks reefs</t>
  </si>
  <si>
    <t>Takaou Bay to Ninepin Coasts reef</t>
  </si>
  <si>
    <t>Cavalli Islands and Coasts reef edge</t>
  </si>
  <si>
    <t>Ahipara Banks Reefs</t>
  </si>
  <si>
    <t>Cape Tauroa reefs</t>
  </si>
  <si>
    <t>Doubtless Bay Complex reef edge</t>
  </si>
  <si>
    <t>DD</t>
  </si>
  <si>
    <t>Kawerua Offshore Reef Edge Habitat</t>
  </si>
  <si>
    <t>Kawarua Offshore Reef</t>
  </si>
  <si>
    <t>Far North Special Biodiveristy Area</t>
  </si>
  <si>
    <t>Far North Special biodiversity Area</t>
  </si>
  <si>
    <t>Matapia Island reefs</t>
  </si>
  <si>
    <t>The Bluff reef</t>
  </si>
  <si>
    <t>Biogenic Habitats</t>
  </si>
  <si>
    <t>Great Exhibition Bay Biogenic soft bottom complex</t>
  </si>
  <si>
    <t>Cape Karikari to Rawarawa Beach reefs</t>
  </si>
  <si>
    <t>Biogenic Habitats DD</t>
  </si>
  <si>
    <t>Doubtless Bay Biogenic Habitats area</t>
  </si>
  <si>
    <t>Berghan Point to Takou Bay reefs</t>
  </si>
  <si>
    <t>Whangaroa Coast reefs</t>
  </si>
  <si>
    <t>Cavalli Islands and Coast  reefs</t>
  </si>
  <si>
    <t>Eastern Bay of Islands Biogeinic habitats</t>
  </si>
  <si>
    <t>Eastern Bay of Islands - Cape Brett reefs</t>
  </si>
  <si>
    <t>Bland Bay Coast reefs</t>
  </si>
  <si>
    <t>Mimiwhangata reefs</t>
  </si>
  <si>
    <t>Whananaki reefs</t>
  </si>
  <si>
    <t>Poor Knights Islands reefs</t>
  </si>
  <si>
    <t>West Coast shallow reefs</t>
  </si>
  <si>
    <t>Hen and Chicks Islands reefs</t>
  </si>
  <si>
    <t>Hen and Chickens Islands reefs edge</t>
  </si>
  <si>
    <t>Poor Knights Isands reef edge</t>
  </si>
  <si>
    <t>Whananaki reef edge</t>
  </si>
  <si>
    <t>Mimiwhangata reef edge</t>
  </si>
  <si>
    <t>Bland Bay Coast reef edge</t>
  </si>
  <si>
    <t>Takou to Ninepin reefs</t>
  </si>
  <si>
    <t>Whangaroa Coast reef edge</t>
  </si>
  <si>
    <t>Bergan to Whangaroa Coast reef edge</t>
  </si>
  <si>
    <t>Cape Karikari Rawarawa reefs</t>
  </si>
  <si>
    <t>Toheroa Habitat</t>
  </si>
  <si>
    <t>Ninety Mile Beach toheroa habitat</t>
  </si>
  <si>
    <t>Mitimiti Beach toheroa habitat</t>
  </si>
  <si>
    <t>Rapiro Beach toheroa habitat</t>
  </si>
  <si>
    <t>Ahipara Banks reefs</t>
  </si>
  <si>
    <t>Habitat_1</t>
  </si>
  <si>
    <t>FID</t>
  </si>
  <si>
    <t>Tim Denne and Stephen Hoskins (2012), Economic analysis to support the reassessment of antifouling paints, report prepared for Environment Protection Authority</t>
  </si>
  <si>
    <t>www.epa.govt.nz/search-databases/HSNO%20Application%20Register%20Documents/APP201051_Covec%20Final%20Report%20(2012.12.14).pdf</t>
  </si>
  <si>
    <t xml:space="preserve">Graeme Inglis et al (2012), "Scenarios of Vessel Biofouling Risk and their Management: An evaluation of options", MAF Technical Paper No. 2012/07 </t>
  </si>
  <si>
    <t>www.biosecurity.govt.nz/files/publications/technical-papers/2012-07-vessel-biofouling-scenarios-final-report.pdf</t>
  </si>
  <si>
    <t>Total cost of anti-fouling Northland vessels ($)</t>
  </si>
  <si>
    <t>Haul out, clean and anti-foul</t>
  </si>
  <si>
    <t>2. Based on presence of listed pest species.</t>
  </si>
  <si>
    <r>
      <t>P (risk species present)</t>
    </r>
    <r>
      <rPr>
        <vertAlign val="superscript"/>
        <sz val="11"/>
        <color theme="1"/>
        <rFont val="Calibri"/>
        <family val="2"/>
        <scheme val="minor"/>
      </rPr>
      <t>1,2</t>
    </r>
  </si>
  <si>
    <t>Lift and wash</t>
  </si>
  <si>
    <t>Hand cleaning in water</t>
  </si>
  <si>
    <t>The Far North Special Biodiversity Area is 257186.458 ha.</t>
  </si>
  <si>
    <t>Of that 29833.829 ha is reef habitat.</t>
  </si>
  <si>
    <t>Notes from James Griffin</t>
  </si>
  <si>
    <t>Vince didn’t distinguish between deep and shallow reefs or include reef edge habitat in this area, so I’ve just used the reef habitat.  It doesn’t exclude deep reefs, but is probably a good proxy for reef + reef edge elsewhere in the region.</t>
  </si>
  <si>
    <t>Likelihood of that introduction being attributed to hull fouling</t>
  </si>
  <si>
    <t>Current LOF</t>
  </si>
  <si>
    <t>What level should NRC set LOF</t>
  </si>
  <si>
    <t>Where is your home port?</t>
  </si>
  <si>
    <t xml:space="preserve">Slime only' (every how many months)  </t>
  </si>
  <si>
    <t xml:space="preserve">Moderate fouling on 6-15% of the hull' (every how many months) </t>
  </si>
  <si>
    <t xml:space="preserve">Very heavy fouling on 41-100% of the hull' (every how many months) </t>
  </si>
  <si>
    <t>response number</t>
  </si>
  <si>
    <t>difference between current and suggested LOF</t>
  </si>
  <si>
    <t>Open-Ended Response</t>
  </si>
  <si>
    <t>Antifoul - and/or</t>
  </si>
  <si>
    <t>Lift and wash - and/or</t>
  </si>
  <si>
    <t>Soft cloth clean in water</t>
  </si>
  <si>
    <t>days since last antifoul</t>
  </si>
  <si>
    <t>days since last lift and wash</t>
  </si>
  <si>
    <t>days since last inwater clean</t>
  </si>
  <si>
    <t>Bay of Islands</t>
  </si>
  <si>
    <t xml:space="preserve">Auckland </t>
  </si>
  <si>
    <t>Kerikeri</t>
  </si>
  <si>
    <t xml:space="preserve">Gulfharbour </t>
  </si>
  <si>
    <t>Overseas</t>
  </si>
  <si>
    <t>Tutukaka</t>
  </si>
  <si>
    <t>Waiheke Island</t>
  </si>
  <si>
    <t>Mean</t>
  </si>
  <si>
    <t>5th percentile</t>
  </si>
  <si>
    <t>Lower IQ</t>
  </si>
  <si>
    <t>Median</t>
  </si>
  <si>
    <t>Upper IQ</t>
  </si>
  <si>
    <t>95th percentile</t>
  </si>
  <si>
    <t>Slime only</t>
  </si>
  <si>
    <t>To graph</t>
  </si>
  <si>
    <t>First quartile</t>
  </si>
  <si>
    <t>Second quartile</t>
  </si>
  <si>
    <t>Third quartile</t>
  </si>
  <si>
    <t>Moderate fouling</t>
  </si>
  <si>
    <t>Very heavy fouling</t>
  </si>
  <si>
    <t>Assumed % of Pi attribute to HF</t>
  </si>
  <si>
    <t>Pi(M )</t>
  </si>
  <si>
    <t>* Other pathways; e.g. fishing nets, sediment on anchors, bilge water etc. Nominal values. Broader education/awareness may decrease such risks.</t>
  </si>
  <si>
    <t>* Natural spread (e.g. via larval dispersal in water currents)</t>
  </si>
  <si>
    <t xml:space="preserve">* Ballast water - subset of vessels (mainly merchant ships) that are deballasting. Other high level risk factors incl origin of ship, voyage duration and whether ballast water exchange occurred (international vessels). </t>
  </si>
  <si>
    <t xml:space="preserve">b. As management targets hull fouling (HF), it is necessary to make an assumption of the contribution of HF to the Pi value. </t>
  </si>
  <si>
    <t>c. Based on the assumed contribution of HF to the Pi value, the risks associated with the introduction of a marine pest from all other pathways is calculated as the residual risk, which remains constant throughout the analysis.</t>
  </si>
  <si>
    <t>* Aquaculture - risk associated with the transfer of stock (in particular) could infected, and long deployment time increases risk of pest establishment. AQNZ and MPI best practice guidance may decrease such risks.</t>
  </si>
  <si>
    <t xml:space="preserve">d. The other pathways, and possible management measures for these, are set out below. </t>
  </si>
  <si>
    <t xml:space="preserve">1. Assumptions regarding unmanaged risk (Pi) and relative importance of HF and other pathways to Pi </t>
  </si>
  <si>
    <t>a. Calculate vessel HF risk represented by each LOF in absence of management, and HF risk eliminated with different LOF scores.</t>
  </si>
  <si>
    <r>
      <t xml:space="preserve">Proportion of Pi </t>
    </r>
    <r>
      <rPr>
        <b/>
        <vertAlign val="subscript"/>
        <sz val="11"/>
        <color theme="1"/>
        <rFont val="Calibri"/>
        <family val="2"/>
        <scheme val="minor"/>
      </rPr>
      <t>(HF)</t>
    </r>
    <r>
      <rPr>
        <b/>
        <sz val="11"/>
        <color theme="1"/>
        <rFont val="Calibri"/>
        <family val="2"/>
        <scheme val="minor"/>
      </rPr>
      <t xml:space="preserve"> risk eliminated with management = </t>
    </r>
  </si>
  <si>
    <t>a. The probability of a marine pest species being introduced (Pi) in any one year is based on the results of NRC biosecurity monitoring over the past five years.</t>
  </si>
  <si>
    <t>Calculated Pi values used for unmanaged risk are as follows:</t>
  </si>
  <si>
    <t>Unmanaged</t>
  </si>
  <si>
    <r>
      <t>Pi</t>
    </r>
    <r>
      <rPr>
        <b/>
        <vertAlign val="subscript"/>
        <sz val="12"/>
        <color theme="1"/>
        <rFont val="Calibri"/>
        <family val="2"/>
        <scheme val="minor"/>
      </rPr>
      <t>(HF)</t>
    </r>
  </si>
  <si>
    <r>
      <t>Pi</t>
    </r>
    <r>
      <rPr>
        <b/>
        <vertAlign val="subscript"/>
        <sz val="12"/>
        <color theme="1"/>
        <rFont val="Calibri"/>
        <family val="2"/>
        <scheme val="minor"/>
      </rPr>
      <t>(other)</t>
    </r>
  </si>
  <si>
    <t>Estimated value of marine environment</t>
  </si>
  <si>
    <t>Based on ver der Belt and Cole (2014), and follow Patterson and Cole (2013) by excluding supporting values</t>
  </si>
  <si>
    <t>2. Uses these $/ha values to calculate a total $ for Northland</t>
  </si>
  <si>
    <t>Economic value ($ per ha)</t>
  </si>
  <si>
    <t>Low</t>
  </si>
  <si>
    <t>High</t>
  </si>
  <si>
    <t>Ecosystem biome</t>
  </si>
  <si>
    <r>
      <t xml:space="preserve">Marjan van der Belt and Anthony Cole (2014) "Ecosystem goods and services in marine protected areas (MPAs)", </t>
    </r>
    <r>
      <rPr>
        <i/>
        <sz val="11"/>
        <color theme="1"/>
        <rFont val="Calibri"/>
        <family val="2"/>
        <scheme val="minor"/>
      </rPr>
      <t>Science for Conservation 326</t>
    </r>
    <r>
      <rPr>
        <sz val="11"/>
        <color theme="1"/>
        <rFont val="Calibri"/>
        <family val="2"/>
        <scheme val="minor"/>
      </rPr>
      <t>, Department of Conservation.</t>
    </r>
  </si>
  <si>
    <r>
      <t xml:space="preserve">Murray Patterson and Anthony Cole (2013), "'Total Economic Value' of New Zealand's land-based ecosystems and their services", in Dymond J.R. (ed) </t>
    </r>
    <r>
      <rPr>
        <i/>
        <sz val="11"/>
        <color theme="1"/>
        <rFont val="Calibri"/>
        <family val="2"/>
        <scheme val="minor"/>
      </rPr>
      <t>Ecosystem services in New Zealand - conditions and trends</t>
    </r>
    <r>
      <rPr>
        <sz val="11"/>
        <color theme="1"/>
        <rFont val="Calibri"/>
        <family val="2"/>
        <scheme val="minor"/>
      </rPr>
      <t>, Manaaki Whenua Press, Lincoln.</t>
    </r>
  </si>
  <si>
    <r>
      <t xml:space="preserve">Vince Kerr (2010), </t>
    </r>
    <r>
      <rPr>
        <i/>
        <sz val="11"/>
        <color theme="1"/>
        <rFont val="Calibri"/>
        <family val="2"/>
        <scheme val="minor"/>
      </rPr>
      <t>Marine Habitat Map of Northland: Mangawhai to Ahipara Vers. 1</t>
    </r>
    <r>
      <rPr>
        <sz val="11"/>
        <color theme="1"/>
        <rFont val="Calibri"/>
        <family val="2"/>
        <scheme val="minor"/>
      </rPr>
      <t>. Technical Report, Department of Conservation, Northland Conservancy, Whāngārei.</t>
    </r>
  </si>
  <si>
    <r>
      <t>Proportion of Pi</t>
    </r>
    <r>
      <rPr>
        <vertAlign val="subscript"/>
        <sz val="11"/>
        <color theme="1"/>
        <rFont val="Calibri"/>
        <family val="2"/>
        <scheme val="minor"/>
      </rPr>
      <t>(HF)</t>
    </r>
    <r>
      <rPr>
        <sz val="11"/>
        <color theme="1"/>
        <rFont val="Calibri"/>
        <family val="2"/>
        <scheme val="minor"/>
      </rPr>
      <t xml:space="preserve"> risk eliminated with management </t>
    </r>
  </si>
  <si>
    <t>1. Calculate a per $/ha for each ecosystem biome</t>
  </si>
  <si>
    <t>Programme and project management and servicing of interagency committees.</t>
  </si>
  <si>
    <t xml:space="preserve">Costs expected to rise as hull cleaning requirement rises. </t>
  </si>
  <si>
    <r>
      <t>a. Unmanaged risk (R</t>
    </r>
    <r>
      <rPr>
        <b/>
        <vertAlign val="subscript"/>
        <sz val="12"/>
        <color theme="1"/>
        <rFont val="Calibri"/>
        <family val="2"/>
        <scheme val="minor"/>
      </rPr>
      <t>U</t>
    </r>
    <r>
      <rPr>
        <b/>
        <sz val="12"/>
        <color theme="1"/>
        <rFont val="Calibri"/>
        <family val="2"/>
        <scheme val="minor"/>
      </rPr>
      <t>) parameters</t>
    </r>
  </si>
  <si>
    <r>
      <t>b. Managed risk (R</t>
    </r>
    <r>
      <rPr>
        <b/>
        <vertAlign val="subscript"/>
        <sz val="12"/>
        <color theme="1"/>
        <rFont val="Calibri"/>
        <family val="2"/>
        <scheme val="minor"/>
      </rPr>
      <t>M</t>
    </r>
    <r>
      <rPr>
        <b/>
        <sz val="12"/>
        <color theme="1"/>
        <rFont val="Calibri"/>
        <family val="2"/>
        <scheme val="minor"/>
      </rPr>
      <t>) parameters</t>
    </r>
  </si>
  <si>
    <r>
      <t>Pi</t>
    </r>
    <r>
      <rPr>
        <vertAlign val="subscript"/>
        <sz val="11"/>
        <color theme="1"/>
        <rFont val="Calibri"/>
        <family val="2"/>
        <scheme val="minor"/>
      </rPr>
      <t>(M</t>
    </r>
    <r>
      <rPr>
        <sz val="11"/>
        <color theme="1"/>
        <rFont val="Calibri"/>
        <family val="2"/>
        <scheme val="minor"/>
      </rPr>
      <t>)</t>
    </r>
  </si>
  <si>
    <r>
      <t>I</t>
    </r>
    <r>
      <rPr>
        <vertAlign val="subscript"/>
        <sz val="11"/>
        <color theme="1"/>
        <rFont val="Calibri"/>
        <family val="2"/>
        <scheme val="minor"/>
      </rPr>
      <t>(M)</t>
    </r>
  </si>
  <si>
    <r>
      <t>C. Calculation of R</t>
    </r>
    <r>
      <rPr>
        <b/>
        <vertAlign val="subscript"/>
        <sz val="12"/>
        <color theme="1"/>
        <rFont val="Calibri"/>
        <family val="2"/>
        <scheme val="minor"/>
      </rPr>
      <t>U</t>
    </r>
  </si>
  <si>
    <t>2. Additional establishment costs associated with introducing pathways</t>
  </si>
  <si>
    <t>1. Estimated on-going annual agency costs for different management regimes</t>
  </si>
  <si>
    <t>4. Total cost for different management regimes</t>
  </si>
  <si>
    <t>Total annual cost</t>
  </si>
  <si>
    <t>Total establishment cost</t>
  </si>
  <si>
    <t xml:space="preserve">Estimation of Pi(M) for different management regimes </t>
  </si>
  <si>
    <t>Estimated public and private costs of different management regimes</t>
  </si>
  <si>
    <t>1. Used maximum charge rate.</t>
  </si>
  <si>
    <t>Source: Ingils et al (2012), Table 24, p.77</t>
  </si>
  <si>
    <t>2. 2010 rates - adjusted by Producer Price Index for Repair and Maintenance</t>
  </si>
  <si>
    <r>
      <t>Breakdown of costs</t>
    </r>
    <r>
      <rPr>
        <b/>
        <vertAlign val="superscript"/>
        <sz val="11"/>
        <color theme="1"/>
        <rFont val="Calibri"/>
        <family val="2"/>
        <scheme val="minor"/>
      </rPr>
      <t>1</t>
    </r>
  </si>
  <si>
    <r>
      <t>Inflation adjusted</t>
    </r>
    <r>
      <rPr>
        <b/>
        <vertAlign val="superscript"/>
        <sz val="11"/>
        <color theme="1"/>
        <rFont val="Calibri"/>
        <family val="2"/>
        <scheme val="minor"/>
      </rPr>
      <t>2</t>
    </r>
  </si>
  <si>
    <t>Estimation of commercial cost</t>
  </si>
  <si>
    <r>
      <t>Estimation of do it yourself cost</t>
    </r>
    <r>
      <rPr>
        <b/>
        <vertAlign val="superscript"/>
        <sz val="12"/>
        <color theme="1"/>
        <rFont val="Calibri"/>
        <family val="2"/>
        <scheme val="minor"/>
      </rPr>
      <t>2</t>
    </r>
  </si>
  <si>
    <t>1. Antifouling prices charge by Bridge Marina.</t>
  </si>
  <si>
    <t>Number of times a year action is required to achieve LOF requirement</t>
  </si>
  <si>
    <t>Area (ha)</t>
  </si>
  <si>
    <t>Supporting ($)</t>
  </si>
  <si>
    <t>Regulating ($)</t>
  </si>
  <si>
    <t>Provisioning ($)</t>
  </si>
  <si>
    <t>Cultural ($)</t>
  </si>
  <si>
    <t>Supporting ($/ha)</t>
  </si>
  <si>
    <t>Regulating ($/ha)</t>
  </si>
  <si>
    <t>Provisioning ($/ha)</t>
  </si>
  <si>
    <t>Cultural ($/ha)</t>
  </si>
  <si>
    <t>Total regulating, provisioning and cultural ($/ha)</t>
  </si>
  <si>
    <t>1. Excluded as the impact of pests on these values are likely to be insignificant.</t>
  </si>
  <si>
    <t>2. Mangroves (9393ha) and seagrass (5192ha) area include in this category as $/ha value for mangroves seen as too high and for seagrass too low.</t>
  </si>
  <si>
    <t>3. Using hectares of Ecosystem Biome from Kerr (2010) and Kerr (2015)</t>
  </si>
  <si>
    <t>Lift and wash / grid and capture</t>
  </si>
  <si>
    <t>Pi(M) is the reduced likelihood of pest introduction following application of management measures</t>
  </si>
  <si>
    <t>Proportion of Northland boats in conformity based on hull survey data, i.e. at that level or below</t>
  </si>
  <si>
    <t>A + (1-A)*B</t>
  </si>
  <si>
    <t>Key results table</t>
  </si>
  <si>
    <t>These cannot be changed below but can be altered in relevant worksheets.</t>
  </si>
  <si>
    <t>These can be changed in the cell below.</t>
  </si>
  <si>
    <t>1-4%</t>
  </si>
  <si>
    <t>5-9%</t>
  </si>
  <si>
    <t>Medium</t>
  </si>
  <si>
    <t>10-50%</t>
  </si>
  <si>
    <t>Impact of pests on values (for reference see table opposite)</t>
  </si>
  <si>
    <t>Impact of pests on values used in pest CBA analysis</t>
  </si>
  <si>
    <t>Benefit ($M)</t>
  </si>
  <si>
    <t>Present value of benefits and costs for a ten-year period</t>
  </si>
  <si>
    <t>1. Based on NRC summer survey. Note these are boats from all locations, including those outside the region.</t>
  </si>
  <si>
    <t>Calculation of risk assumptions</t>
  </si>
  <si>
    <t>Public and private cost assumptions</t>
  </si>
  <si>
    <t>Benefit cost calculation assumptions</t>
  </si>
  <si>
    <t>Estimation of values</t>
  </si>
  <si>
    <r>
      <t>Northland area (ha)</t>
    </r>
    <r>
      <rPr>
        <vertAlign val="superscript"/>
        <sz val="11"/>
        <color theme="1"/>
        <rFont val="Calibri"/>
        <family val="2"/>
        <scheme val="minor"/>
      </rPr>
      <t>3</t>
    </r>
  </si>
  <si>
    <t>Total Northland value</t>
  </si>
  <si>
    <t>% vessels compliant</t>
  </si>
  <si>
    <t>Number of vessels non-compliant</t>
  </si>
  <si>
    <t>FTE equivalent</t>
  </si>
  <si>
    <t>Calculation of number of vessels non-compliant</t>
  </si>
  <si>
    <t>Hours worked</t>
  </si>
  <si>
    <t>Weeks worked</t>
  </si>
  <si>
    <t>Cost of enforcing non-compliant vessels</t>
  </si>
  <si>
    <t>1a. Estimation of enforcement costs for different management regimes</t>
  </si>
  <si>
    <t>Enforcement cost</t>
  </si>
  <si>
    <t>Number of hours worked per vessel for compliance</t>
  </si>
  <si>
    <t>3a. Estimation of average lift and wash cost by vessel length</t>
  </si>
  <si>
    <t>3. Estimated annual private sector costs for different management regimes</t>
  </si>
  <si>
    <t>3b. Estimation of average cost for haul out, clean and anti-foul cost by vessel length</t>
  </si>
  <si>
    <t>3d. Calculation of of carrying out various management actions on Northland vessel owners</t>
  </si>
  <si>
    <t>3e. Estimation of annual private sector costs for different management regimes</t>
  </si>
  <si>
    <t>Distribution of Northland vessels only from hull survey</t>
  </si>
  <si>
    <r>
      <t>Open sea/ocean</t>
    </r>
    <r>
      <rPr>
        <b/>
        <vertAlign val="superscript"/>
        <sz val="11"/>
        <color theme="1"/>
        <rFont val="Calibri"/>
        <family val="2"/>
        <scheme val="minor"/>
      </rPr>
      <t>1</t>
    </r>
  </si>
  <si>
    <r>
      <t>Continental shelf</t>
    </r>
    <r>
      <rPr>
        <b/>
        <vertAlign val="superscript"/>
        <sz val="11"/>
        <color theme="1"/>
        <rFont val="Calibri"/>
        <family val="2"/>
        <scheme val="minor"/>
      </rPr>
      <t>1</t>
    </r>
  </si>
  <si>
    <r>
      <t>Estuary / lagoon / intertidal / mangroves / seagrass</t>
    </r>
    <r>
      <rPr>
        <b/>
        <vertAlign val="superscript"/>
        <sz val="11"/>
        <color theme="1"/>
        <rFont val="Calibri"/>
        <family val="2"/>
        <scheme val="minor"/>
      </rPr>
      <t>2</t>
    </r>
  </si>
  <si>
    <t>Estuary / lagoon / interidal</t>
  </si>
  <si>
    <t>Seagrass / algae beds</t>
  </si>
  <si>
    <t>Salt marshes / wetland</t>
  </si>
  <si>
    <t>Value of marine environment at risk</t>
  </si>
  <si>
    <t>FTE cost</t>
  </si>
  <si>
    <t>FTE cost for compliance</t>
  </si>
  <si>
    <t>Probability of uptake</t>
  </si>
  <si>
    <t>LOF 2 movement</t>
  </si>
  <si>
    <t>Spread of vessels by LOF</t>
  </si>
  <si>
    <t>3c. Estimation of average cost for hand cleaning in water by vessel length</t>
  </si>
  <si>
    <t>Do it yourself cost as proportion of commercial cost</t>
  </si>
  <si>
    <t>Rm = managed risk</t>
  </si>
  <si>
    <t>Ru = unmanaged risk (status quo)</t>
  </si>
  <si>
    <t>Rm = Pi(M) x V x I x E x (1 - Psc)</t>
  </si>
  <si>
    <t>Assumption that risks spread geomertic</t>
  </si>
  <si>
    <t>E = advere impact of pest on V</t>
  </si>
  <si>
    <t>Ru = Pi x V x (I x E)</t>
  </si>
  <si>
    <t>a.  I(M), impact under managed scenarios, is calculated by reducing I according to decrease in Pi.</t>
  </si>
  <si>
    <t>Proportion of value affected after ten years</t>
  </si>
  <si>
    <t>Net benefit (B-C) ($M)</t>
  </si>
  <si>
    <t>Proportion of vessels in each LOF category moving from one harbour to another each year</t>
  </si>
  <si>
    <t>Proportion of vessels leaving harbour in a year</t>
  </si>
  <si>
    <t>Enforcement (Table 1a)</t>
  </si>
  <si>
    <t>Incursion response (Table 1c)</t>
  </si>
  <si>
    <t>Number of vessels surveyed</t>
  </si>
  <si>
    <t>1c. Estimation of incursion response costs for different management regimes</t>
  </si>
  <si>
    <t>Cost of incursion response under current</t>
  </si>
  <si>
    <t>Incursion response cost</t>
  </si>
  <si>
    <t>Change is based on reduction in risk</t>
  </si>
  <si>
    <t xml:space="preserve">Average per vessel surveillance cost </t>
  </si>
  <si>
    <t>Structural surveillance</t>
  </si>
  <si>
    <t>Vessel surveillance (Table 1b)</t>
  </si>
  <si>
    <t xml:space="preserve">Cost of vessel surveillance </t>
  </si>
  <si>
    <t>1b. Estimation of vessel surveillance costs for different management regimes</t>
  </si>
  <si>
    <t>Vessel surveillance cost</t>
  </si>
  <si>
    <t>Haul out and return</t>
  </si>
  <si>
    <t>3. Proportion of vessels using commercial providers is expected to increase with vessel size (Gadd et al., 2011)</t>
  </si>
  <si>
    <t>http://www.epa.govt.nz/Publications/EPA_AntifoulingPhase2.pdf</t>
  </si>
  <si>
    <t>Jennifer Gadd, Craig Depree and Chris Hickey (2011), Relevance to New Zealand of the OECD Emission Scenario Document for Antifouling Products: Phase 2 Report, Report prepared for EPA</t>
  </si>
  <si>
    <t>% of vessels using commercial providers for haul out, clean and anti-foul</t>
  </si>
  <si>
    <t>% of vessels using commercial providers for hand cleaning</t>
  </si>
  <si>
    <t>Based number of vessels surveyed</t>
  </si>
  <si>
    <t>What type of vessel do you own?</t>
  </si>
  <si>
    <t>What length is your vessel?</t>
  </si>
  <si>
    <t>How many times per year do you move your vessel from one harbour to another?  (e.g. Tutukaka to Bay of Islands).</t>
  </si>
  <si>
    <t>Please select which image below best resembles the current state of your vessel’s hull:</t>
  </si>
  <si>
    <t>opua</t>
  </si>
  <si>
    <t xml:space="preserve">Slime only </t>
  </si>
  <si>
    <t xml:space="preserve">Heavy fouling on 16-40% of the hull </t>
  </si>
  <si>
    <t>Opua</t>
  </si>
  <si>
    <t>Fully clean hull</t>
  </si>
  <si>
    <t>Count of LOF</t>
  </si>
  <si>
    <t>Column Labels</t>
  </si>
  <si>
    <t>Light fouling on 1-5% of the hull</t>
  </si>
  <si>
    <t>Row Labels</t>
  </si>
  <si>
    <t>(blank)</t>
  </si>
  <si>
    <t>Grand Total</t>
  </si>
  <si>
    <t>Russell</t>
  </si>
  <si>
    <t xml:space="preserve">Paihia </t>
  </si>
  <si>
    <t xml:space="preserve">Moderate fouling on 6-15% of the hull </t>
  </si>
  <si>
    <t>Multi-hull</t>
  </si>
  <si>
    <t xml:space="preserve">Fully clean hull </t>
  </si>
  <si>
    <t>Work boat</t>
  </si>
  <si>
    <t>Maunganui</t>
  </si>
  <si>
    <t>Waitangi B.O.I's</t>
  </si>
  <si>
    <t>Dove's Bay</t>
  </si>
  <si>
    <t>waipero bay</t>
  </si>
  <si>
    <t>whangarei</t>
  </si>
  <si>
    <t>kerikeri</t>
  </si>
  <si>
    <t>Paihia</t>
  </si>
  <si>
    <t xml:space="preserve">Very heavy fouling on 41-100% of the hull </t>
  </si>
  <si>
    <t xml:space="preserve">Whangaroa </t>
  </si>
  <si>
    <t xml:space="preserve">Opua </t>
  </si>
  <si>
    <t>Bay of island</t>
  </si>
  <si>
    <t xml:space="preserve">Light fouling on 1-5% of the hull </t>
  </si>
  <si>
    <t>Doves bay KeriKeri</t>
  </si>
  <si>
    <t>kerikeri inlet</t>
  </si>
  <si>
    <t>Doves Bay Marina</t>
  </si>
  <si>
    <t>Doves Bay</t>
  </si>
  <si>
    <t xml:space="preserve">Opua Marina </t>
  </si>
  <si>
    <t>Doves bay Marina</t>
  </si>
  <si>
    <t xml:space="preserve">Doves bay Marina </t>
  </si>
  <si>
    <t>Doves bay</t>
  </si>
  <si>
    <t>Whangarei kissing point</t>
  </si>
  <si>
    <t xml:space="preserve">Tutukaka </t>
  </si>
  <si>
    <t>tutukaka</t>
  </si>
  <si>
    <t>Tutu kaka marina</t>
  </si>
  <si>
    <t>Kerikeri Cruising Club Marina</t>
  </si>
  <si>
    <t>Tutakaka</t>
  </si>
  <si>
    <t>Tutukaka 1</t>
  </si>
  <si>
    <t>Parua Bay</t>
  </si>
  <si>
    <t>Totara North</t>
  </si>
  <si>
    <t>Waiting River. Paihia Bay of Islands</t>
  </si>
  <si>
    <t>tutukaka and gulf harbour</t>
  </si>
  <si>
    <t xml:space="preserve">Tutakaka </t>
  </si>
  <si>
    <t>kissing point . whangerei</t>
  </si>
  <si>
    <t>Baseline</t>
  </si>
  <si>
    <t>Scenario</t>
  </si>
  <si>
    <t>Proportion on non-conformity vessels likely to conform to the requirement</t>
  </si>
  <si>
    <t>Number of NRC staff hours worked per vessel for compliance</t>
  </si>
  <si>
    <t>b. Uptake of management measures is assumed to decrease as LOF requirement gets higher.</t>
  </si>
  <si>
    <t>a. These calculations reflect the proportion of risk eliminated (from #2) multiplied by level of efficacy (from #3)</t>
  </si>
  <si>
    <t>Clean Vessel Pass</t>
  </si>
  <si>
    <t>Clean vessel pass</t>
  </si>
  <si>
    <r>
      <t>% of vessels using commercial providers for lift and wash</t>
    </r>
    <r>
      <rPr>
        <b/>
        <vertAlign val="superscript"/>
        <sz val="8"/>
        <color theme="1"/>
        <rFont val="Calibri"/>
        <family val="2"/>
        <scheme val="minor"/>
      </rPr>
      <t>3</t>
    </r>
  </si>
  <si>
    <t>Estimation of do it yourself cost</t>
  </si>
  <si>
    <t>Boat owner time cost</t>
  </si>
  <si>
    <t>2016Q1</t>
  </si>
  <si>
    <t>2016Q2</t>
  </si>
  <si>
    <t>2016Q3</t>
  </si>
  <si>
    <t>2016Q4</t>
  </si>
  <si>
    <t>2017Q1</t>
  </si>
  <si>
    <t>17 May 2017 10:45am</t>
  </si>
  <si>
    <t>`</t>
  </si>
  <si>
    <t>Estimation of commercial costs</t>
  </si>
  <si>
    <t>Calculated average cost of lift and wash</t>
  </si>
  <si>
    <t>Calculated average cost of haul out, clean and anti-foul</t>
  </si>
  <si>
    <r>
      <t>Commercial</t>
    </r>
    <r>
      <rPr>
        <b/>
        <vertAlign val="superscript"/>
        <sz val="11"/>
        <color theme="1"/>
        <rFont val="Calibri"/>
        <family val="2"/>
        <scheme val="minor"/>
      </rPr>
      <t>1</t>
    </r>
  </si>
  <si>
    <t>Calculated average cost of hand cleaning</t>
  </si>
  <si>
    <t>Hours</t>
  </si>
  <si>
    <t>$ per hour</t>
  </si>
  <si>
    <t>Average cost of management action</t>
  </si>
  <si>
    <t>LOF 2 with movement</t>
  </si>
  <si>
    <t>Present value of net benefits (B-C) over a ten-year period ($M)</t>
  </si>
  <si>
    <t>1. Private costs twice as high</t>
  </si>
  <si>
    <t xml:space="preserve">Changing these percentages alters the specific assumptions of the model by the relevant amount.  </t>
  </si>
  <si>
    <t xml:space="preserve">For example changing to 50% halves the value used in the model; changing to 200% doubles the value used in the model. </t>
  </si>
  <si>
    <t>A figure of 100% means the baseline assumptions are used.</t>
  </si>
  <si>
    <t>Private costs</t>
  </si>
  <si>
    <t>Risk of hull fouling being the vector for marine pests</t>
  </si>
  <si>
    <t>Overall efficacy of the programme (whether caused by reduction in either treatment success and/or lower level of uptake)</t>
  </si>
  <si>
    <t>Value of marine environment being affected</t>
  </si>
  <si>
    <t>Sensitivity analysis</t>
  </si>
  <si>
    <t>Private costs twice as high</t>
  </si>
  <si>
    <t xml:space="preserve">Value of marine environment (benefit) halved </t>
  </si>
  <si>
    <t>Efficacy halved</t>
  </si>
  <si>
    <t>Risk of hull fouling being the vector for marine pests halved</t>
  </si>
  <si>
    <t>Sensitivity analysis of Marine Pathways Plan options</t>
  </si>
  <si>
    <t>Based on the following assumptions and estimates.  Please check sensitivity analysis values.  These need to be 100% for baseline scenario.</t>
  </si>
  <si>
    <t>Private costs ($M)</t>
  </si>
  <si>
    <t>Public costs ($M)</t>
  </si>
  <si>
    <t>Proportion public costs</t>
  </si>
  <si>
    <t>Total Cost ($M)</t>
  </si>
  <si>
    <t>Deadweight cost of taxation</t>
  </si>
  <si>
    <t>Reduction in risk from hull fouling</t>
  </si>
  <si>
    <t>Reduction in Pi risk</t>
  </si>
  <si>
    <t>2. Efficacy halved (whether caused by reduction in either treatment success and/or lower level of uptake)</t>
  </si>
  <si>
    <t>3. Value of marine environment (benefit) being affected halved</t>
  </si>
  <si>
    <t>4. Likelihood of hull fouling being the vector for marine pests reduced by half to 45%</t>
  </si>
  <si>
    <t>Assumed to increase the cleaner the vessel</t>
  </si>
  <si>
    <t>Proportion of vessels visiting a destination area in a year</t>
  </si>
  <si>
    <t>Proportion of Northland region designated as destination areas</t>
  </si>
  <si>
    <t>Percentage of boats who time their anti-foul to have CVP when visiting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</si>
</sst>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44" formatCode="_-&quot;$&quot;* #,##0.00_-;\-&quot;$&quot;* #,##0.00_-;_-&quot;$&quot;* &quot;-&quot;??_-;_-@_-"/>
    <numFmt numFmtId="43" formatCode="_-* #,##0.00_-;\-* #,##0.00_-;_-* &quot;-&quot;??_-;_-@_-"/>
    <numFmt numFmtId="164" formatCode="0.0"/>
    <numFmt numFmtId="165" formatCode="0.000"/>
    <numFmt numFmtId="166" formatCode="0.00000"/>
    <numFmt numFmtId="167" formatCode="0.0000"/>
    <numFmt numFmtId="168" formatCode="#,##0.0"/>
    <numFmt numFmtId="169" formatCode="[$$-1409]#,##0;\-[$$-1409]#,##0"/>
    <numFmt numFmtId="170" formatCode="0.000000"/>
    <numFmt numFmtId="171" formatCode="0.0%"/>
    <numFmt numFmtId="172" formatCode="[$$-1409]#,##0.00;\-[$$-1409]#,##0.00"/>
    <numFmt numFmtId="173" formatCode="mm/dd/yyyy"/>
    <numFmt numFmtId="174" formatCode="&quot;$&quot;#,##0.00"/>
    <numFmt numFmtId="175" formatCode="&quot;$&quot;#,##0.0"/>
    <numFmt numFmtId="176" formatCode="&quot;$&quot;#,##0"/>
    <numFmt numFmtId="177" formatCode="#,##0_ ;\-#,##0\ "/>
  </numFmts>
  <fonts count="34">
    <font>
      <sz val="11"/>
      <color theme="1"/>
      <name val="Calibri"/>
      <family val="2"/>
      <scheme val="minor"/>
    </font>
    <font>
      <sz val="11"/>
      <color theme="1"/>
      <name val="Arial"/>
      <family val="2"/>
    </font>
    <font>
      <b/>
      <sz val="11"/>
      <color theme="1"/>
      <name val="Calibri"/>
      <family val="2"/>
      <scheme val="minor"/>
    </font>
    <font>
      <sz val="11"/>
      <color theme="1"/>
      <name val="Calibri"/>
      <family val="2"/>
      <scheme val="minor"/>
    </font>
    <font>
      <sz val="14"/>
      <color theme="1"/>
      <name val="Calibri"/>
      <family val="2"/>
      <scheme val="minor"/>
    </font>
    <font>
      <i/>
      <sz val="11"/>
      <color theme="1"/>
      <name val="Calibri"/>
      <family val="2"/>
      <scheme val="minor"/>
    </font>
    <font>
      <b/>
      <sz val="16"/>
      <color theme="1"/>
      <name val="Calibri"/>
      <family val="2"/>
      <scheme val="minor"/>
    </font>
    <font>
      <sz val="16"/>
      <color theme="1"/>
      <name val="Calibri"/>
      <family val="2"/>
      <scheme val="minor"/>
    </font>
    <font>
      <vertAlign val="subscript"/>
      <sz val="11"/>
      <color theme="1"/>
      <name val="Calibri"/>
      <family val="2"/>
      <scheme val="minor"/>
    </font>
    <font>
      <b/>
      <vertAlign val="subscript"/>
      <sz val="11"/>
      <color theme="1"/>
      <name val="Calibri"/>
      <family val="2"/>
      <scheme val="minor"/>
    </font>
    <font>
      <b/>
      <sz val="12"/>
      <color theme="1"/>
      <name val="Calibri"/>
      <family val="2"/>
      <scheme val="minor"/>
    </font>
    <font>
      <vertAlign val="superscript"/>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sz val="10"/>
      <name val="Arial"/>
      <family val="2"/>
    </font>
    <font>
      <b/>
      <sz val="10"/>
      <name val="Arial"/>
      <family val="2"/>
    </font>
    <font>
      <b/>
      <vertAlign val="subscript"/>
      <sz val="12"/>
      <color theme="1"/>
      <name val="Calibri"/>
      <family val="2"/>
      <scheme val="minor"/>
    </font>
    <font>
      <b/>
      <sz val="14"/>
      <color theme="1"/>
      <name val="Calibri"/>
      <family val="2"/>
      <scheme val="minor"/>
    </font>
    <font>
      <b/>
      <i/>
      <sz val="11"/>
      <color theme="1"/>
      <name val="Calibri"/>
      <family val="2"/>
      <scheme val="minor"/>
    </font>
    <font>
      <b/>
      <sz val="9"/>
      <color theme="1"/>
      <name val="Calibri"/>
      <family val="2"/>
      <scheme val="minor"/>
    </font>
    <font>
      <b/>
      <sz val="11"/>
      <color rgb="FFFF0000"/>
      <name val="Calibri"/>
      <family val="2"/>
      <scheme val="minor"/>
    </font>
    <font>
      <b/>
      <sz val="11"/>
      <color theme="3" tint="0.39997558519241921"/>
      <name val="Calibri"/>
      <family val="2"/>
      <scheme val="minor"/>
    </font>
    <font>
      <b/>
      <vertAlign val="superscript"/>
      <sz val="11"/>
      <color theme="1"/>
      <name val="Calibri"/>
      <family val="2"/>
      <scheme val="minor"/>
    </font>
    <font>
      <b/>
      <vertAlign val="superscript"/>
      <sz val="12"/>
      <color theme="1"/>
      <name val="Calibri"/>
      <family val="2"/>
      <scheme val="minor"/>
    </font>
    <font>
      <sz val="9"/>
      <color theme="1"/>
      <name val="Calibri"/>
      <family val="2"/>
      <scheme val="minor"/>
    </font>
    <font>
      <u/>
      <sz val="11"/>
      <color theme="1"/>
      <name val="Calibri"/>
      <family val="2"/>
      <scheme val="minor"/>
    </font>
    <font>
      <b/>
      <sz val="10"/>
      <color theme="1"/>
      <name val="Calibri"/>
      <family val="2"/>
      <scheme val="minor"/>
    </font>
    <font>
      <sz val="11"/>
      <name val="Calibri"/>
      <family val="2"/>
      <scheme val="minor"/>
    </font>
    <font>
      <b/>
      <sz val="8"/>
      <color theme="1"/>
      <name val="Calibri"/>
      <family val="2"/>
      <scheme val="minor"/>
    </font>
    <font>
      <b/>
      <sz val="10"/>
      <name val="Segoe UI"/>
      <family val="2"/>
    </font>
    <font>
      <sz val="9"/>
      <color indexed="81"/>
      <name val="Tahoma"/>
      <charset val="1"/>
    </font>
    <font>
      <b/>
      <sz val="9"/>
      <color indexed="81"/>
      <name val="Tahoma"/>
      <charset val="1"/>
    </font>
    <font>
      <b/>
      <vertAlign val="superscript"/>
      <sz val="8"/>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22"/>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auto="1"/>
      </top>
      <bottom style="thin">
        <color auto="1"/>
      </bottom>
      <diagonal/>
    </border>
    <border>
      <left/>
      <right/>
      <top style="thin">
        <color indexed="64"/>
      </top>
      <bottom style="medium">
        <color indexed="64"/>
      </bottom>
      <diagonal/>
    </border>
    <border>
      <left/>
      <right style="thin">
        <color indexed="64"/>
      </right>
      <top style="medium">
        <color auto="1"/>
      </top>
      <bottom/>
      <diagonal/>
    </border>
    <border>
      <left/>
      <right style="thin">
        <color indexed="64"/>
      </right>
      <top style="medium">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auto="1"/>
      </bottom>
      <diagonal/>
    </border>
    <border>
      <left/>
      <right/>
      <top style="medium">
        <color auto="1"/>
      </top>
      <bottom/>
      <diagonal/>
    </border>
    <border>
      <left/>
      <right style="thin">
        <color indexed="64"/>
      </right>
      <top/>
      <bottom style="medium">
        <color auto="1"/>
      </bottom>
      <diagonal/>
    </border>
    <border>
      <left style="thin">
        <color indexed="64"/>
      </left>
      <right/>
      <top style="medium">
        <color auto="1"/>
      </top>
      <bottom/>
      <diagonal/>
    </border>
    <border>
      <left style="thin">
        <color indexed="64"/>
      </left>
      <right/>
      <top/>
      <bottom/>
      <diagonal/>
    </border>
    <border>
      <left style="thin">
        <color indexed="64"/>
      </left>
      <right/>
      <top/>
      <bottom style="medium">
        <color auto="1"/>
      </bottom>
      <diagonal/>
    </border>
    <border>
      <left style="thin">
        <color indexed="64"/>
      </left>
      <right/>
      <top/>
      <bottom style="thin">
        <color indexed="64"/>
      </bottom>
      <diagonal/>
    </border>
    <border>
      <left/>
      <right style="thin">
        <color indexed="64"/>
      </right>
      <top style="thin">
        <color auto="1"/>
      </top>
      <bottom/>
      <diagonal/>
    </border>
    <border>
      <left style="thin">
        <color indexed="64"/>
      </left>
      <right/>
      <top style="medium">
        <color auto="1"/>
      </top>
      <bottom style="thin">
        <color auto="1"/>
      </bottom>
      <diagonal/>
    </border>
    <border>
      <left style="thin">
        <color indexed="64"/>
      </left>
      <right style="thin">
        <color indexed="64"/>
      </right>
      <top style="medium">
        <color auto="1"/>
      </top>
      <bottom/>
      <diagonal/>
    </border>
    <border>
      <left style="thin">
        <color indexed="64"/>
      </left>
      <right style="thin">
        <color indexed="64"/>
      </right>
      <top/>
      <bottom style="medium">
        <color auto="1"/>
      </bottom>
      <diagonal/>
    </border>
    <border>
      <left style="thin">
        <color indexed="64"/>
      </left>
      <right/>
      <top style="medium">
        <color auto="1"/>
      </top>
      <bottom style="hair">
        <color indexed="64"/>
      </bottom>
      <diagonal/>
    </border>
    <border>
      <left/>
      <right/>
      <top style="medium">
        <color auto="1"/>
      </top>
      <bottom style="hair">
        <color indexed="64"/>
      </bottom>
      <diagonal/>
    </border>
    <border>
      <left/>
      <right style="thin">
        <color indexed="64"/>
      </right>
      <top style="medium">
        <color auto="1"/>
      </top>
      <bottom style="hair">
        <color indexed="64"/>
      </bottom>
      <diagonal/>
    </border>
    <border>
      <left/>
      <right style="thin">
        <color indexed="64"/>
      </right>
      <top style="dotted">
        <color auto="1"/>
      </top>
      <bottom style="thin">
        <color indexed="64"/>
      </bottom>
      <diagonal/>
    </border>
    <border>
      <left/>
      <right/>
      <top style="medium">
        <color auto="1"/>
      </top>
      <bottom style="dotted">
        <color auto="1"/>
      </bottom>
      <diagonal/>
    </border>
    <border>
      <left style="thin">
        <color indexed="64"/>
      </left>
      <right style="thin">
        <color indexed="64"/>
      </right>
      <top style="thin">
        <color indexed="64"/>
      </top>
      <bottom/>
      <diagonal/>
    </border>
    <border>
      <left style="thin">
        <color auto="1"/>
      </left>
      <right/>
      <top style="medium">
        <color auto="1"/>
      </top>
      <bottom style="dotted">
        <color auto="1"/>
      </bottom>
      <diagonal/>
    </border>
    <border>
      <left/>
      <right style="thin">
        <color indexed="64"/>
      </right>
      <top style="medium">
        <color auto="1"/>
      </top>
      <bottom style="dotted">
        <color auto="1"/>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7">
    <xf numFmtId="0" fontId="0" fillId="0" borderId="0"/>
    <xf numFmtId="9" fontId="3" fillId="0" borderId="0" applyFont="0" applyFill="0" applyBorder="0" applyAlignment="0" applyProtection="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712">
    <xf numFmtId="0" fontId="0" fillId="0" borderId="0" xfId="0"/>
    <xf numFmtId="0" fontId="2" fillId="0" borderId="0" xfId="0" applyFont="1"/>
    <xf numFmtId="0" fontId="0" fillId="0" borderId="0" xfId="0" applyFill="1"/>
    <xf numFmtId="0" fontId="0" fillId="0" borderId="0" xfId="0" applyFill="1" applyBorder="1"/>
    <xf numFmtId="0" fontId="0" fillId="0" borderId="0" xfId="0" applyAlignment="1">
      <alignment horizontal="right"/>
    </xf>
    <xf numFmtId="0" fontId="0" fillId="0" borderId="0" xfId="0" applyFont="1" applyAlignment="1">
      <alignment horizontal="center"/>
    </xf>
    <xf numFmtId="0" fontId="0" fillId="0" borderId="0" xfId="0" applyFont="1" applyFill="1" applyAlignment="1">
      <alignment horizontal="center"/>
    </xf>
    <xf numFmtId="0" fontId="0" fillId="0" borderId="0" xfId="0" applyFont="1"/>
    <xf numFmtId="0" fontId="2" fillId="0" borderId="0" xfId="0" applyFont="1" applyFill="1" applyAlignment="1">
      <alignment horizontal="left"/>
    </xf>
    <xf numFmtId="0" fontId="0" fillId="0" borderId="0" xfId="0" applyFont="1" applyFill="1" applyAlignment="1">
      <alignment horizontal="left"/>
    </xf>
    <xf numFmtId="0" fontId="5" fillId="0" borderId="0" xfId="0" applyFont="1" applyAlignment="1">
      <alignment horizontal="right"/>
    </xf>
    <xf numFmtId="0" fontId="5" fillId="0" borderId="0" xfId="0" applyFont="1" applyAlignment="1">
      <alignment horizontal="center" wrapText="1"/>
    </xf>
    <xf numFmtId="0" fontId="2" fillId="3" borderId="0" xfId="0" applyFont="1" applyFill="1" applyAlignment="1">
      <alignment horizontal="left"/>
    </xf>
    <xf numFmtId="0" fontId="0" fillId="0" borderId="0" xfId="0" applyFont="1" applyFill="1"/>
    <xf numFmtId="0" fontId="5" fillId="0" borderId="0" xfId="0" applyFont="1" applyFill="1" applyAlignment="1">
      <alignment horizontal="center" wrapText="1"/>
    </xf>
    <xf numFmtId="2" fontId="0" fillId="4" borderId="0" xfId="0" applyNumberFormat="1" applyFont="1" applyFill="1" applyBorder="1" applyAlignment="1">
      <alignment horizontal="center"/>
    </xf>
    <xf numFmtId="1"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2" fontId="2" fillId="4" borderId="6" xfId="0" applyNumberFormat="1" applyFont="1" applyFill="1" applyBorder="1" applyAlignment="1">
      <alignment horizontal="center"/>
    </xf>
    <xf numFmtId="2" fontId="2" fillId="0" borderId="0" xfId="0" applyNumberFormat="1" applyFont="1" applyFill="1" applyBorder="1" applyAlignment="1">
      <alignment horizontal="right"/>
    </xf>
    <xf numFmtId="0" fontId="2" fillId="4" borderId="0" xfId="0" applyFont="1" applyFill="1"/>
    <xf numFmtId="0" fontId="4" fillId="0" borderId="0" xfId="0" applyFont="1" applyFill="1" applyAlignment="1">
      <alignment horizontal="center"/>
    </xf>
    <xf numFmtId="0" fontId="0" fillId="4"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2" fontId="2" fillId="0" borderId="0" xfId="0" applyNumberFormat="1" applyFont="1" applyFill="1" applyBorder="1" applyAlignment="1">
      <alignment horizontal="center"/>
    </xf>
    <xf numFmtId="0" fontId="0" fillId="4" borderId="6" xfId="0" applyFont="1" applyFill="1" applyBorder="1" applyAlignment="1">
      <alignment horizontal="center" vertical="center" wrapText="1"/>
    </xf>
    <xf numFmtId="2" fontId="2" fillId="4" borderId="7" xfId="0" applyNumberFormat="1" applyFont="1" applyFill="1" applyBorder="1" applyAlignment="1">
      <alignment horizontal="center"/>
    </xf>
    <xf numFmtId="0" fontId="2" fillId="0" borderId="8" xfId="0" applyFont="1" applyBorder="1" applyAlignment="1">
      <alignment horizontal="center" wrapText="1"/>
    </xf>
    <xf numFmtId="0" fontId="0" fillId="0" borderId="0" xfId="0" applyAlignment="1">
      <alignment horizontal="right" indent="2"/>
    </xf>
    <xf numFmtId="9" fontId="0" fillId="0" borderId="0" xfId="1" applyFont="1" applyAlignment="1">
      <alignment horizontal="right" indent="2"/>
    </xf>
    <xf numFmtId="0" fontId="0" fillId="0" borderId="9" xfId="0" applyBorder="1" applyAlignment="1">
      <alignment horizontal="right" indent="2"/>
    </xf>
    <xf numFmtId="9" fontId="0" fillId="0" borderId="9" xfId="1" applyFont="1" applyBorder="1" applyAlignment="1">
      <alignment horizontal="right" indent="2"/>
    </xf>
    <xf numFmtId="9" fontId="0" fillId="0" borderId="0" xfId="1" applyFont="1"/>
    <xf numFmtId="0" fontId="0" fillId="5" borderId="0" xfId="0" applyFill="1"/>
    <xf numFmtId="0" fontId="2" fillId="0" borderId="11" xfId="0" applyFont="1" applyBorder="1" applyAlignment="1">
      <alignment horizontal="center" wrapText="1"/>
    </xf>
    <xf numFmtId="0" fontId="0" fillId="0" borderId="12" xfId="0" applyBorder="1"/>
    <xf numFmtId="0" fontId="2" fillId="0" borderId="14" xfId="0" applyFont="1" applyBorder="1" applyAlignment="1">
      <alignment horizontal="center" wrapText="1"/>
    </xf>
    <xf numFmtId="0" fontId="0" fillId="0" borderId="3" xfId="0" applyBorder="1"/>
    <xf numFmtId="0" fontId="2" fillId="0" borderId="11" xfId="0" applyFont="1" applyBorder="1" applyAlignment="1">
      <alignment horizontal="left" wrapText="1"/>
    </xf>
    <xf numFmtId="0" fontId="0" fillId="0" borderId="13" xfId="0" quotePrefix="1" applyBorder="1"/>
    <xf numFmtId="0" fontId="0" fillId="0" borderId="16" xfId="0" applyBorder="1"/>
    <xf numFmtId="0" fontId="2" fillId="0" borderId="11" xfId="0" applyFont="1" applyBorder="1" applyAlignment="1">
      <alignment horizontal="center"/>
    </xf>
    <xf numFmtId="0" fontId="0" fillId="0" borderId="12" xfId="0" applyBorder="1" applyAlignment="1">
      <alignment horizontal="center"/>
    </xf>
    <xf numFmtId="0" fontId="0" fillId="0" borderId="12" xfId="0" applyBorder="1" applyAlignment="1">
      <alignment horizontal="right" indent="2"/>
    </xf>
    <xf numFmtId="0" fontId="0" fillId="0" borderId="2" xfId="0" applyBorder="1" applyAlignment="1">
      <alignment horizontal="right" indent="2"/>
    </xf>
    <xf numFmtId="0" fontId="0" fillId="0" borderId="6" xfId="0" applyBorder="1" applyAlignment="1">
      <alignment horizontal="right" indent="2"/>
    </xf>
    <xf numFmtId="0" fontId="0" fillId="0" borderId="13" xfId="0" applyBorder="1" applyAlignment="1">
      <alignment horizontal="right" indent="2"/>
    </xf>
    <xf numFmtId="0" fontId="0" fillId="0" borderId="15" xfId="0" applyBorder="1" applyAlignment="1">
      <alignment horizontal="right" indent="2"/>
    </xf>
    <xf numFmtId="9" fontId="0" fillId="0" borderId="6" xfId="1" applyFont="1" applyBorder="1" applyAlignment="1">
      <alignment horizontal="right" indent="2"/>
    </xf>
    <xf numFmtId="0" fontId="0" fillId="0" borderId="5" xfId="0" applyBorder="1" applyAlignment="1">
      <alignment horizontal="right" indent="2"/>
    </xf>
    <xf numFmtId="0" fontId="0" fillId="0" borderId="3" xfId="0" applyBorder="1" applyAlignment="1">
      <alignment horizontal="right" indent="2"/>
    </xf>
    <xf numFmtId="0" fontId="0" fillId="0" borderId="1" xfId="0" applyBorder="1" applyAlignment="1">
      <alignment horizontal="right" indent="2"/>
    </xf>
    <xf numFmtId="9" fontId="0" fillId="0" borderId="5" xfId="1" applyFont="1" applyBorder="1" applyAlignment="1">
      <alignment horizontal="right" indent="2"/>
    </xf>
    <xf numFmtId="9" fontId="0" fillId="0" borderId="16" xfId="1" applyFont="1" applyBorder="1" applyAlignment="1">
      <alignment horizontal="right" indent="2"/>
    </xf>
    <xf numFmtId="9" fontId="0" fillId="0" borderId="17" xfId="1" applyFont="1" applyBorder="1" applyAlignment="1">
      <alignment horizontal="right" indent="2"/>
    </xf>
    <xf numFmtId="3" fontId="0" fillId="0" borderId="0" xfId="0" applyNumberFormat="1" applyAlignment="1">
      <alignment horizontal="right" indent="2"/>
    </xf>
    <xf numFmtId="3" fontId="0" fillId="0" borderId="9" xfId="0" applyNumberFormat="1" applyBorder="1" applyAlignment="1">
      <alignment horizontal="right" indent="2"/>
    </xf>
    <xf numFmtId="0" fontId="0" fillId="0" borderId="10" xfId="0" applyBorder="1"/>
    <xf numFmtId="3" fontId="0" fillId="0" borderId="22" xfId="0" applyNumberFormat="1" applyBorder="1" applyAlignment="1">
      <alignment horizontal="right" indent="2"/>
    </xf>
    <xf numFmtId="3" fontId="0" fillId="0" borderId="0" xfId="0" applyNumberFormat="1" applyBorder="1" applyAlignment="1">
      <alignment horizontal="right" indent="2"/>
    </xf>
    <xf numFmtId="3" fontId="0" fillId="0" borderId="12" xfId="0" applyNumberFormat="1" applyBorder="1" applyAlignment="1">
      <alignment horizontal="right" indent="2"/>
    </xf>
    <xf numFmtId="3" fontId="0" fillId="0" borderId="23" xfId="0" applyNumberFormat="1" applyBorder="1" applyAlignment="1">
      <alignment horizontal="right" indent="2"/>
    </xf>
    <xf numFmtId="3" fontId="0" fillId="0" borderId="18" xfId="0" applyNumberFormat="1" applyBorder="1" applyAlignment="1">
      <alignment horizontal="right" indent="2"/>
    </xf>
    <xf numFmtId="3" fontId="0" fillId="0" borderId="20" xfId="0" applyNumberFormat="1" applyBorder="1" applyAlignment="1">
      <alignment horizontal="right" indent="2"/>
    </xf>
    <xf numFmtId="0" fontId="2" fillId="0" borderId="13" xfId="0" applyFont="1" applyBorder="1"/>
    <xf numFmtId="0" fontId="2" fillId="0" borderId="24" xfId="0" applyFont="1" applyBorder="1" applyAlignment="1">
      <alignment horizontal="left"/>
    </xf>
    <xf numFmtId="0" fontId="2" fillId="0" borderId="6" xfId="0" applyFont="1" applyBorder="1" applyAlignment="1">
      <alignment horizontal="left"/>
    </xf>
    <xf numFmtId="0" fontId="2" fillId="0" borderId="13" xfId="0" applyFont="1" applyBorder="1" applyAlignment="1">
      <alignment horizontal="left"/>
    </xf>
    <xf numFmtId="0" fontId="0" fillId="0" borderId="20" xfId="0" applyBorder="1" applyAlignment="1">
      <alignment horizontal="center"/>
    </xf>
    <xf numFmtId="9" fontId="0" fillId="0" borderId="0" xfId="0" applyNumberFormat="1"/>
    <xf numFmtId="0" fontId="0" fillId="0" borderId="4" xfId="0" applyBorder="1" applyAlignment="1">
      <alignment horizontal="right" indent="2"/>
    </xf>
    <xf numFmtId="164" fontId="0" fillId="0" borderId="0" xfId="0" applyNumberFormat="1"/>
    <xf numFmtId="9" fontId="0" fillId="0" borderId="12" xfId="1" applyFont="1" applyBorder="1" applyAlignment="1">
      <alignment horizontal="right" indent="2"/>
    </xf>
    <xf numFmtId="9" fontId="0" fillId="0" borderId="13" xfId="1" applyFont="1" applyBorder="1" applyAlignment="1">
      <alignment horizontal="right" indent="2"/>
    </xf>
    <xf numFmtId="0" fontId="2" fillId="0" borderId="0" xfId="0" applyFont="1" applyFill="1" applyBorder="1" applyAlignment="1">
      <alignment horizontal="center" wrapText="1"/>
    </xf>
    <xf numFmtId="164" fontId="0" fillId="0" borderId="0" xfId="0" applyNumberFormat="1" applyAlignment="1">
      <alignment horizontal="right" indent="2"/>
    </xf>
    <xf numFmtId="164" fontId="0" fillId="0" borderId="5" xfId="0" applyNumberFormat="1" applyBorder="1" applyAlignment="1">
      <alignment horizontal="right" indent="2"/>
    </xf>
    <xf numFmtId="0" fontId="0" fillId="0" borderId="25" xfId="0" applyBorder="1" applyAlignment="1">
      <alignment horizontal="right" indent="2"/>
    </xf>
    <xf numFmtId="0" fontId="10" fillId="0" borderId="0" xfId="0" applyFont="1" applyBorder="1" applyAlignment="1">
      <alignment horizontal="center"/>
    </xf>
    <xf numFmtId="0" fontId="2" fillId="0" borderId="0" xfId="0" applyFont="1" applyBorder="1" applyAlignment="1">
      <alignment horizontal="center" wrapText="1"/>
    </xf>
    <xf numFmtId="9" fontId="0" fillId="0" borderId="0" xfId="1" applyFont="1" applyBorder="1" applyAlignment="1">
      <alignment horizontal="right" indent="2"/>
    </xf>
    <xf numFmtId="3" fontId="0" fillId="5" borderId="0" xfId="0" applyNumberFormat="1" applyFill="1" applyAlignment="1">
      <alignment horizontal="right" indent="2"/>
    </xf>
    <xf numFmtId="0" fontId="0" fillId="0" borderId="0" xfId="0" applyAlignment="1">
      <alignment horizontal="right" indent="1"/>
    </xf>
    <xf numFmtId="169" fontId="0" fillId="0" borderId="9" xfId="0" applyNumberFormat="1" applyBorder="1" applyAlignment="1">
      <alignment horizontal="right" indent="1"/>
    </xf>
    <xf numFmtId="169" fontId="0" fillId="0" borderId="0" xfId="0" applyNumberFormat="1"/>
    <xf numFmtId="0" fontId="0" fillId="4" borderId="0" xfId="0" applyFont="1" applyFill="1" applyBorder="1" applyAlignment="1">
      <alignment horizontal="center" wrapText="1"/>
    </xf>
    <xf numFmtId="0" fontId="0" fillId="4" borderId="12" xfId="0" applyFont="1" applyFill="1" applyBorder="1" applyAlignment="1">
      <alignment horizontal="center" wrapText="1"/>
    </xf>
    <xf numFmtId="0" fontId="0" fillId="4" borderId="13" xfId="0" applyFont="1" applyFill="1" applyBorder="1" applyAlignment="1">
      <alignment horizontal="center" vertical="center" wrapText="1"/>
    </xf>
    <xf numFmtId="165" fontId="2" fillId="4" borderId="13" xfId="0" applyNumberFormat="1" applyFont="1" applyFill="1" applyBorder="1" applyAlignment="1">
      <alignment horizontal="center"/>
    </xf>
    <xf numFmtId="0" fontId="0" fillId="4" borderId="25" xfId="0" applyFont="1" applyFill="1" applyBorder="1" applyAlignment="1">
      <alignment horizontal="center" wrapText="1"/>
    </xf>
    <xf numFmtId="165" fontId="0" fillId="4" borderId="0" xfId="0" applyNumberFormat="1" applyFont="1" applyFill="1" applyBorder="1" applyAlignment="1">
      <alignment horizontal="center" vertical="center" wrapText="1"/>
    </xf>
    <xf numFmtId="0" fontId="2" fillId="4" borderId="6" xfId="0" applyFont="1" applyFill="1" applyBorder="1" applyAlignment="1">
      <alignment horizontal="left"/>
    </xf>
    <xf numFmtId="171" fontId="0" fillId="0" borderId="0" xfId="1" applyNumberFormat="1" applyFont="1"/>
    <xf numFmtId="0" fontId="2" fillId="0" borderId="0" xfId="0" applyFont="1" applyFill="1" applyBorder="1" applyAlignment="1">
      <alignment horizontal="left"/>
    </xf>
    <xf numFmtId="0" fontId="0" fillId="5" borderId="0" xfId="0" applyFill="1" applyAlignment="1">
      <alignment horizontal="right" indent="1"/>
    </xf>
    <xf numFmtId="0" fontId="2" fillId="0" borderId="21" xfId="0" applyFont="1" applyBorder="1" applyAlignment="1">
      <alignment horizontal="center"/>
    </xf>
    <xf numFmtId="0" fontId="2" fillId="0" borderId="19" xfId="0" applyFont="1" applyBorder="1" applyAlignment="1">
      <alignment horizontal="center"/>
    </xf>
    <xf numFmtId="0" fontId="2" fillId="0" borderId="10" xfId="0" applyFont="1" applyBorder="1" applyAlignment="1">
      <alignment horizontal="center"/>
    </xf>
    <xf numFmtId="0" fontId="2" fillId="0" borderId="21" xfId="0" applyFont="1" applyBorder="1" applyAlignment="1">
      <alignment horizontal="center" wrapText="1"/>
    </xf>
    <xf numFmtId="0" fontId="2" fillId="0" borderId="24" xfId="0" applyFont="1" applyBorder="1" applyAlignment="1">
      <alignment horizontal="center" wrapText="1"/>
    </xf>
    <xf numFmtId="0" fontId="2" fillId="0" borderId="0" xfId="0" applyFont="1" applyFill="1" applyBorder="1" applyAlignment="1">
      <alignment horizontal="center" wrapText="1"/>
    </xf>
    <xf numFmtId="0" fontId="2" fillId="0" borderId="18" xfId="0" applyFont="1" applyBorder="1" applyAlignment="1">
      <alignment horizontal="center"/>
    </xf>
    <xf numFmtId="0" fontId="10" fillId="0" borderId="0" xfId="0" applyFont="1" applyAlignment="1">
      <alignment horizontal="center"/>
    </xf>
    <xf numFmtId="3" fontId="0" fillId="0" borderId="0" xfId="0" applyNumberFormat="1" applyAlignment="1">
      <alignment horizontal="right" indent="1"/>
    </xf>
    <xf numFmtId="3" fontId="0" fillId="0" borderId="9" xfId="0" applyNumberFormat="1" applyBorder="1" applyAlignment="1">
      <alignment horizontal="right" indent="1"/>
    </xf>
    <xf numFmtId="169" fontId="0" fillId="0" borderId="0" xfId="0" applyNumberFormat="1" applyBorder="1" applyAlignment="1">
      <alignment horizontal="right" indent="1"/>
    </xf>
    <xf numFmtId="172" fontId="0" fillId="0" borderId="0" xfId="0" applyNumberFormat="1"/>
    <xf numFmtId="169" fontId="0" fillId="0" borderId="0" xfId="0" applyNumberFormat="1" applyAlignment="1">
      <alignment horizontal="right" indent="1"/>
    </xf>
    <xf numFmtId="9" fontId="0" fillId="0" borderId="0" xfId="1" applyFont="1" applyAlignment="1">
      <alignment horizontal="right" indent="1"/>
    </xf>
    <xf numFmtId="49" fontId="0" fillId="0" borderId="0" xfId="0" applyNumberFormat="1" applyAlignment="1">
      <alignment wrapText="1"/>
    </xf>
    <xf numFmtId="49" fontId="2" fillId="0" borderId="0" xfId="0" applyNumberFormat="1" applyFont="1" applyAlignment="1">
      <alignment horizontal="center" vertical="center" wrapText="1"/>
    </xf>
    <xf numFmtId="49" fontId="0" fillId="0" borderId="0" xfId="0" applyNumberFormat="1" applyAlignment="1">
      <alignment vertical="center" wrapText="1"/>
    </xf>
    <xf numFmtId="0" fontId="15" fillId="0" borderId="0" xfId="4"/>
    <xf numFmtId="3" fontId="15" fillId="0" borderId="0" xfId="4" applyNumberFormat="1"/>
    <xf numFmtId="3" fontId="15" fillId="0" borderId="0" xfId="4" applyNumberFormat="1" applyFont="1" applyFill="1" applyBorder="1" applyAlignment="1" applyProtection="1"/>
    <xf numFmtId="0" fontId="15" fillId="0" borderId="0" xfId="4" applyFont="1" applyFill="1" applyBorder="1" applyAlignment="1" applyProtection="1"/>
    <xf numFmtId="1" fontId="15" fillId="0" borderId="0" xfId="4" applyNumberFormat="1" applyFont="1" applyFill="1" applyBorder="1" applyAlignment="1" applyProtection="1"/>
    <xf numFmtId="0" fontId="16" fillId="7" borderId="0" xfId="4" applyFont="1" applyFill="1" applyBorder="1" applyAlignment="1" applyProtection="1">
      <alignment horizontal="center"/>
    </xf>
    <xf numFmtId="9" fontId="0" fillId="0" borderId="4" xfId="1" applyFont="1" applyBorder="1" applyAlignment="1">
      <alignment horizontal="right" indent="2"/>
    </xf>
    <xf numFmtId="9" fontId="0" fillId="0" borderId="18" xfId="0" applyNumberFormat="1" applyBorder="1" applyAlignment="1">
      <alignment horizontal="right" indent="2"/>
    </xf>
    <xf numFmtId="9" fontId="0" fillId="0" borderId="25" xfId="1" applyFont="1" applyBorder="1" applyAlignment="1">
      <alignment horizontal="right" indent="2"/>
    </xf>
    <xf numFmtId="9" fontId="0" fillId="0" borderId="3" xfId="1" applyFont="1" applyBorder="1" applyAlignment="1">
      <alignment horizontal="right" indent="2"/>
    </xf>
    <xf numFmtId="9" fontId="0" fillId="0" borderId="20" xfId="0" applyNumberFormat="1" applyBorder="1" applyAlignment="1">
      <alignment horizontal="right" indent="2"/>
    </xf>
    <xf numFmtId="0" fontId="0" fillId="0" borderId="6" xfId="0" applyFont="1" applyFill="1" applyBorder="1" applyAlignment="1">
      <alignment horizontal="center" vertical="center" wrapText="1"/>
    </xf>
    <xf numFmtId="0" fontId="16" fillId="0" borderId="0" xfId="4" applyFont="1"/>
    <xf numFmtId="0" fontId="2" fillId="0" borderId="0" xfId="0" applyFont="1" applyAlignment="1">
      <alignment wrapText="1"/>
    </xf>
    <xf numFmtId="0" fontId="2" fillId="0" borderId="12" xfId="0" applyFont="1" applyBorder="1" applyAlignment="1">
      <alignment wrapText="1"/>
    </xf>
    <xf numFmtId="0" fontId="2" fillId="0" borderId="6" xfId="0" applyFont="1" applyBorder="1" applyAlignment="1">
      <alignment wrapText="1"/>
    </xf>
    <xf numFmtId="0" fontId="2" fillId="0" borderId="13" xfId="0" applyFont="1" applyBorder="1" applyAlignment="1">
      <alignment wrapText="1"/>
    </xf>
    <xf numFmtId="0" fontId="0" fillId="0" borderId="0" xfId="0" applyAlignment="1">
      <alignment horizontal="right" wrapText="1"/>
    </xf>
    <xf numFmtId="0" fontId="0" fillId="0" borderId="12" xfId="0" applyBorder="1" applyAlignment="1">
      <alignment horizontal="right" wrapText="1"/>
    </xf>
    <xf numFmtId="173" fontId="0" fillId="0" borderId="0" xfId="0" applyNumberFormat="1" applyAlignment="1">
      <alignment horizontal="right" wrapText="1"/>
    </xf>
    <xf numFmtId="173" fontId="0" fillId="0" borderId="12" xfId="0" applyNumberFormat="1" applyBorder="1" applyAlignment="1">
      <alignment horizontal="right" wrapText="1"/>
    </xf>
    <xf numFmtId="0" fontId="0" fillId="0" borderId="19" xfId="0" applyBorder="1"/>
    <xf numFmtId="0" fontId="0" fillId="0" borderId="13" xfId="0" applyBorder="1"/>
    <xf numFmtId="0" fontId="2" fillId="0" borderId="12" xfId="0" applyFont="1" applyBorder="1"/>
    <xf numFmtId="1" fontId="0" fillId="0" borderId="0" xfId="0" applyNumberFormat="1"/>
    <xf numFmtId="1" fontId="0" fillId="0" borderId="12" xfId="0" applyNumberFormat="1" applyBorder="1"/>
    <xf numFmtId="0" fontId="2" fillId="0" borderId="12" xfId="0" applyFont="1" applyFill="1" applyBorder="1"/>
    <xf numFmtId="0" fontId="2" fillId="6" borderId="12" xfId="0" applyFont="1" applyFill="1" applyBorder="1"/>
    <xf numFmtId="0" fontId="0" fillId="6" borderId="0" xfId="0" applyFill="1"/>
    <xf numFmtId="0" fontId="0" fillId="6" borderId="12" xfId="0" applyFill="1" applyBorder="1"/>
    <xf numFmtId="0" fontId="0" fillId="0" borderId="12" xfId="0" applyFill="1" applyBorder="1"/>
    <xf numFmtId="1" fontId="0" fillId="0" borderId="12" xfId="0" applyNumberFormat="1" applyFill="1" applyBorder="1"/>
    <xf numFmtId="1" fontId="0" fillId="6" borderId="0" xfId="0" applyNumberFormat="1" applyFill="1"/>
    <xf numFmtId="1" fontId="0" fillId="6" borderId="12" xfId="0" applyNumberFormat="1" applyFill="1" applyBorder="1"/>
    <xf numFmtId="0" fontId="2" fillId="6" borderId="20" xfId="0" applyFont="1" applyFill="1" applyBorder="1"/>
    <xf numFmtId="1" fontId="0" fillId="6" borderId="18" xfId="0" applyNumberFormat="1" applyFill="1" applyBorder="1"/>
    <xf numFmtId="1" fontId="0" fillId="6" borderId="20" xfId="0" applyNumberFormat="1" applyFill="1" applyBorder="1"/>
    <xf numFmtId="0" fontId="0" fillId="5" borderId="12" xfId="0" applyFill="1" applyBorder="1" applyAlignment="1">
      <alignment horizontal="right" wrapText="1"/>
    </xf>
    <xf numFmtId="0" fontId="0" fillId="5" borderId="0" xfId="0" applyFill="1" applyAlignment="1">
      <alignment horizontal="right" wrapText="1"/>
    </xf>
    <xf numFmtId="1" fontId="2" fillId="0" borderId="0" xfId="0" applyNumberFormat="1" applyFont="1" applyAlignment="1">
      <alignment horizontal="center"/>
    </xf>
    <xf numFmtId="2" fontId="0" fillId="0" borderId="0" xfId="0" applyNumberFormat="1" applyFont="1" applyFill="1" applyBorder="1" applyAlignment="1">
      <alignment horizontal="center" wrapText="1"/>
    </xf>
    <xf numFmtId="0" fontId="0" fillId="4" borderId="7" xfId="0" applyFont="1" applyFill="1" applyBorder="1" applyAlignment="1">
      <alignment horizontal="center" wrapText="1"/>
    </xf>
    <xf numFmtId="165" fontId="2" fillId="4" borderId="6" xfId="0" applyNumberFormat="1" applyFont="1" applyFill="1" applyBorder="1" applyAlignment="1">
      <alignment horizontal="center"/>
    </xf>
    <xf numFmtId="2" fontId="2" fillId="4" borderId="6" xfId="0" applyNumberFormat="1" applyFont="1" applyFill="1" applyBorder="1" applyAlignment="1">
      <alignment horizontal="center" vertical="center"/>
    </xf>
    <xf numFmtId="2" fontId="2" fillId="4" borderId="15" xfId="0" applyNumberFormat="1" applyFont="1" applyFill="1" applyBorder="1" applyAlignment="1">
      <alignment horizontal="center" vertical="center"/>
    </xf>
    <xf numFmtId="0" fontId="0" fillId="4" borderId="0" xfId="0" applyFont="1" applyFill="1" applyBorder="1" applyAlignment="1">
      <alignment horizontal="left"/>
    </xf>
    <xf numFmtId="0" fontId="0" fillId="6" borderId="0" xfId="0" applyFont="1" applyFill="1" applyBorder="1" applyAlignment="1">
      <alignment horizontal="left"/>
    </xf>
    <xf numFmtId="2" fontId="0" fillId="6" borderId="0" xfId="0" applyNumberFormat="1" applyFont="1" applyFill="1" applyBorder="1" applyAlignment="1">
      <alignment horizontal="center"/>
    </xf>
    <xf numFmtId="0" fontId="0" fillId="0" borderId="7" xfId="0" applyFont="1" applyFill="1" applyBorder="1" applyAlignment="1">
      <alignment horizontal="left"/>
    </xf>
    <xf numFmtId="0" fontId="6" fillId="0" borderId="0" xfId="0" applyFont="1" applyFill="1" applyBorder="1" applyAlignment="1">
      <alignment horizontal="left"/>
    </xf>
    <xf numFmtId="0" fontId="4" fillId="0" borderId="0" xfId="0" applyFont="1" applyFill="1" applyBorder="1" applyAlignment="1">
      <alignment horizontal="center"/>
    </xf>
    <xf numFmtId="2" fontId="0" fillId="4" borderId="7" xfId="0" applyNumberFormat="1" applyFont="1" applyFill="1" applyBorder="1" applyAlignment="1">
      <alignment horizontal="center" vertical="center" wrapText="1"/>
    </xf>
    <xf numFmtId="2" fontId="0" fillId="4" borderId="0" xfId="0" applyNumberFormat="1" applyFont="1" applyFill="1" applyBorder="1" applyAlignment="1">
      <alignment horizontal="center" vertical="center" wrapText="1"/>
    </xf>
    <xf numFmtId="0" fontId="2" fillId="4" borderId="7" xfId="0" applyFont="1" applyFill="1" applyBorder="1" applyAlignment="1">
      <alignment horizontal="left"/>
    </xf>
    <xf numFmtId="2" fontId="0" fillId="0" borderId="0" xfId="0" applyNumberFormat="1" applyFont="1" applyFill="1" applyBorder="1" applyAlignment="1">
      <alignment horizontal="center"/>
    </xf>
    <xf numFmtId="165" fontId="2" fillId="4" borderId="0" xfId="0" applyNumberFormat="1" applyFont="1" applyFill="1" applyBorder="1" applyAlignment="1">
      <alignment horizontal="center"/>
    </xf>
    <xf numFmtId="0" fontId="2" fillId="4" borderId="0" xfId="0" applyFont="1" applyFill="1" applyBorder="1" applyAlignment="1">
      <alignment horizontal="center"/>
    </xf>
    <xf numFmtId="0" fontId="2" fillId="0" borderId="0" xfId="0" applyFont="1" applyAlignment="1">
      <alignment horizontal="right"/>
    </xf>
    <xf numFmtId="2" fontId="2" fillId="0" borderId="0" xfId="0" applyNumberFormat="1" applyFont="1" applyAlignment="1">
      <alignment horizontal="right"/>
    </xf>
    <xf numFmtId="0" fontId="10" fillId="0" borderId="0" xfId="0" applyFont="1" applyFill="1" applyBorder="1" applyAlignment="1">
      <alignment horizontal="left"/>
    </xf>
    <xf numFmtId="0" fontId="10" fillId="0" borderId="6" xfId="0" applyFont="1" applyFill="1" applyBorder="1" applyAlignment="1">
      <alignment horizontal="left"/>
    </xf>
    <xf numFmtId="0" fontId="18" fillId="0" borderId="0" xfId="0" applyFont="1" applyBorder="1" applyAlignment="1"/>
    <xf numFmtId="0" fontId="0" fillId="0" borderId="0" xfId="0" applyFont="1" applyBorder="1" applyAlignment="1">
      <alignment horizontal="center" vertical="center"/>
    </xf>
    <xf numFmtId="0" fontId="0" fillId="0" borderId="0" xfId="0" applyFont="1" applyBorder="1"/>
    <xf numFmtId="0" fontId="10" fillId="0" borderId="10" xfId="0" applyFont="1" applyBorder="1"/>
    <xf numFmtId="0" fontId="2" fillId="4" borderId="13" xfId="0" applyFont="1" applyFill="1" applyBorder="1" applyAlignment="1">
      <alignment vertical="center"/>
    </xf>
    <xf numFmtId="0" fontId="2" fillId="4" borderId="6" xfId="0" applyFont="1" applyFill="1" applyBorder="1" applyAlignment="1">
      <alignment horizontal="center" vertical="center"/>
    </xf>
    <xf numFmtId="0" fontId="2" fillId="0" borderId="0" xfId="0" applyFont="1" applyFill="1" applyBorder="1" applyAlignment="1">
      <alignment vertical="center"/>
    </xf>
    <xf numFmtId="0" fontId="0" fillId="0" borderId="12" xfId="0" applyFont="1" applyFill="1" applyBorder="1" applyAlignment="1">
      <alignment vertical="center"/>
    </xf>
    <xf numFmtId="3" fontId="0" fillId="0" borderId="0" xfId="0" applyNumberFormat="1" applyFont="1" applyFill="1" applyBorder="1" applyAlignment="1">
      <alignment horizontal="right" vertical="center" indent="1"/>
    </xf>
    <xf numFmtId="0" fontId="0" fillId="0" borderId="0" xfId="0" applyFont="1" applyFill="1" applyBorder="1" applyAlignment="1">
      <alignment vertical="center"/>
    </xf>
    <xf numFmtId="0" fontId="0" fillId="6" borderId="12" xfId="0" applyFont="1" applyFill="1" applyBorder="1" applyAlignment="1">
      <alignment horizontal="left" vertical="center"/>
    </xf>
    <xf numFmtId="3" fontId="0" fillId="6" borderId="0" xfId="0" applyNumberFormat="1" applyFont="1" applyFill="1" applyBorder="1" applyAlignment="1">
      <alignment horizontal="right" vertical="center" indent="1"/>
    </xf>
    <xf numFmtId="0" fontId="0" fillId="0" borderId="0" xfId="0" applyFont="1" applyFill="1" applyBorder="1" applyAlignment="1">
      <alignment horizontal="left" vertical="center"/>
    </xf>
    <xf numFmtId="0" fontId="2" fillId="4" borderId="16" xfId="0" applyFont="1" applyFill="1" applyBorder="1" applyAlignment="1">
      <alignment vertical="center"/>
    </xf>
    <xf numFmtId="0" fontId="0" fillId="0" borderId="0" xfId="0" applyFont="1" applyFill="1" applyBorder="1"/>
    <xf numFmtId="3" fontId="2" fillId="0" borderId="0" xfId="0" applyNumberFormat="1" applyFont="1" applyFill="1" applyBorder="1" applyAlignment="1">
      <alignment horizontal="right" vertical="center" indent="1"/>
    </xf>
    <xf numFmtId="0" fontId="2" fillId="0" borderId="6" xfId="0" applyFont="1" applyBorder="1" applyAlignment="1">
      <alignment horizontal="center"/>
    </xf>
    <xf numFmtId="0" fontId="0" fillId="0" borderId="12" xfId="0" applyFont="1" applyFill="1" applyBorder="1"/>
    <xf numFmtId="3" fontId="0" fillId="0" borderId="0" xfId="0" applyNumberFormat="1" applyFont="1" applyFill="1" applyBorder="1" applyAlignment="1">
      <alignment horizontal="right" indent="1"/>
    </xf>
    <xf numFmtId="0" fontId="0" fillId="6" borderId="12" xfId="0" applyFont="1" applyFill="1" applyBorder="1"/>
    <xf numFmtId="3" fontId="0" fillId="6" borderId="0" xfId="0" applyNumberFormat="1" applyFont="1" applyFill="1" applyBorder="1" applyAlignment="1">
      <alignment horizontal="right" indent="1"/>
    </xf>
    <xf numFmtId="0" fontId="0" fillId="0" borderId="10" xfId="0" applyFont="1" applyBorder="1"/>
    <xf numFmtId="0" fontId="0" fillId="0" borderId="13" xfId="0" applyFont="1" applyBorder="1"/>
    <xf numFmtId="0" fontId="0" fillId="0" borderId="12" xfId="0" applyFont="1" applyBorder="1"/>
    <xf numFmtId="169" fontId="0" fillId="0" borderId="0" xfId="0" applyNumberFormat="1" applyFont="1" applyBorder="1" applyAlignment="1">
      <alignment horizontal="right" indent="1"/>
    </xf>
    <xf numFmtId="0" fontId="0" fillId="0" borderId="3" xfId="0" applyFont="1" applyBorder="1"/>
    <xf numFmtId="169" fontId="0" fillId="0" borderId="5" xfId="0" applyNumberFormat="1" applyFont="1" applyBorder="1" applyAlignment="1">
      <alignment horizontal="right" indent="1"/>
    </xf>
    <xf numFmtId="1" fontId="0" fillId="0" borderId="0" xfId="0" applyNumberFormat="1" applyFont="1" applyAlignment="1">
      <alignment horizontal="right" indent="1"/>
    </xf>
    <xf numFmtId="169" fontId="0" fillId="0" borderId="0" xfId="0" applyNumberFormat="1" applyFont="1" applyAlignment="1">
      <alignment horizontal="right" indent="1"/>
    </xf>
    <xf numFmtId="0" fontId="0" fillId="0" borderId="16" xfId="0" applyFont="1" applyBorder="1"/>
    <xf numFmtId="169" fontId="0" fillId="0" borderId="9" xfId="0" applyNumberFormat="1" applyFont="1" applyBorder="1" applyAlignment="1">
      <alignment horizontal="right" indent="1"/>
    </xf>
    <xf numFmtId="3" fontId="0" fillId="0" borderId="12" xfId="0" applyNumberFormat="1" applyFont="1" applyFill="1" applyBorder="1" applyAlignment="1">
      <alignment horizontal="right" indent="2"/>
    </xf>
    <xf numFmtId="3" fontId="0" fillId="0" borderId="12" xfId="0" applyNumberFormat="1" applyFont="1" applyBorder="1" applyAlignment="1">
      <alignment horizontal="right" indent="1"/>
    </xf>
    <xf numFmtId="3" fontId="0" fillId="0" borderId="0" xfId="0" applyNumberFormat="1" applyFont="1" applyBorder="1" applyAlignment="1">
      <alignment horizontal="right" indent="1"/>
    </xf>
    <xf numFmtId="3" fontId="0" fillId="0" borderId="12" xfId="0" applyNumberFormat="1" applyFont="1" applyBorder="1" applyAlignment="1">
      <alignment horizontal="right" indent="2"/>
    </xf>
    <xf numFmtId="3" fontId="0" fillId="0" borderId="16" xfId="0" applyNumberFormat="1" applyFont="1" applyBorder="1" applyAlignment="1">
      <alignment horizontal="right" indent="1"/>
    </xf>
    <xf numFmtId="3" fontId="0" fillId="0" borderId="9" xfId="0" applyNumberFormat="1" applyFont="1" applyBorder="1" applyAlignment="1">
      <alignment horizontal="right" indent="1"/>
    </xf>
    <xf numFmtId="0" fontId="0" fillId="0" borderId="12" xfId="0" applyFont="1" applyBorder="1" applyAlignment="1">
      <alignment horizontal="center"/>
    </xf>
    <xf numFmtId="0" fontId="0" fillId="0" borderId="20" xfId="0" applyFont="1" applyBorder="1" applyAlignment="1">
      <alignment horizontal="center"/>
    </xf>
    <xf numFmtId="0" fontId="19" fillId="0" borderId="0" xfId="0" applyFont="1"/>
    <xf numFmtId="0" fontId="14" fillId="0" borderId="0" xfId="3" applyFont="1" applyAlignment="1">
      <alignment horizontal="left" indent="1"/>
    </xf>
    <xf numFmtId="0" fontId="6" fillId="0" borderId="0" xfId="0" applyFont="1" applyBorder="1" applyAlignment="1"/>
    <xf numFmtId="0" fontId="0" fillId="0" borderId="0" xfId="0" applyFont="1" applyAlignment="1">
      <alignment horizontal="right"/>
    </xf>
    <xf numFmtId="3" fontId="0" fillId="0" borderId="0" xfId="0" applyNumberFormat="1" applyFont="1" applyFill="1" applyAlignment="1">
      <alignment horizontal="right"/>
    </xf>
    <xf numFmtId="0" fontId="0" fillId="3" borderId="0" xfId="0" applyFont="1" applyFill="1"/>
    <xf numFmtId="0" fontId="2" fillId="0" borderId="6" xfId="0" applyFont="1" applyBorder="1" applyAlignment="1">
      <alignment horizontal="center" wrapText="1"/>
    </xf>
    <xf numFmtId="3" fontId="0" fillId="0" borderId="0" xfId="0" applyNumberFormat="1" applyFont="1" applyAlignment="1">
      <alignment horizontal="right" indent="1"/>
    </xf>
    <xf numFmtId="3" fontId="0" fillId="6" borderId="0" xfId="0" applyNumberFormat="1" applyFont="1" applyFill="1" applyAlignment="1">
      <alignment horizontal="right" indent="1"/>
    </xf>
    <xf numFmtId="3" fontId="0" fillId="6" borderId="12" xfId="0" applyNumberFormat="1" applyFont="1" applyFill="1" applyBorder="1" applyAlignment="1">
      <alignment horizontal="right" indent="1"/>
    </xf>
    <xf numFmtId="0" fontId="0" fillId="6" borderId="12" xfId="0" applyFont="1" applyFill="1" applyBorder="1" applyAlignment="1">
      <alignment horizontal="left"/>
    </xf>
    <xf numFmtId="0" fontId="0" fillId="0" borderId="12" xfId="0" applyFont="1" applyBorder="1" applyAlignment="1">
      <alignment horizontal="left"/>
    </xf>
    <xf numFmtId="0" fontId="2" fillId="3" borderId="0" xfId="0" applyFont="1" applyFill="1"/>
    <xf numFmtId="3" fontId="0" fillId="0" borderId="0" xfId="0" applyNumberFormat="1" applyFont="1" applyAlignment="1">
      <alignment horizontal="left"/>
    </xf>
    <xf numFmtId="174" fontId="0" fillId="0" borderId="0" xfId="0" applyNumberFormat="1" applyFont="1" applyFill="1"/>
    <xf numFmtId="3" fontId="0" fillId="0" borderId="0" xfId="0" applyNumberFormat="1" applyFont="1" applyFill="1"/>
    <xf numFmtId="0" fontId="0" fillId="6" borderId="13" xfId="0" applyFont="1" applyFill="1" applyBorder="1" applyAlignment="1">
      <alignment horizontal="left"/>
    </xf>
    <xf numFmtId="0" fontId="0" fillId="0" borderId="0" xfId="0" applyFont="1" applyBorder="1" applyAlignment="1">
      <alignment horizontal="center"/>
    </xf>
    <xf numFmtId="0" fontId="0" fillId="3" borderId="0" xfId="0" applyFont="1" applyFill="1" applyAlignment="1">
      <alignment horizontal="center"/>
    </xf>
    <xf numFmtId="165" fontId="0" fillId="0" borderId="0" xfId="0" applyNumberFormat="1" applyFont="1"/>
    <xf numFmtId="2" fontId="0" fillId="0" borderId="0" xfId="0" applyNumberFormat="1" applyFont="1" applyBorder="1"/>
    <xf numFmtId="0" fontId="0" fillId="0" borderId="0" xfId="0" applyFont="1" applyAlignment="1">
      <alignment horizontal="left" indent="1"/>
    </xf>
    <xf numFmtId="0" fontId="0" fillId="4" borderId="0" xfId="0" applyFont="1" applyFill="1" applyBorder="1"/>
    <xf numFmtId="165" fontId="0" fillId="4" borderId="0" xfId="0" applyNumberFormat="1" applyFont="1" applyFill="1" applyBorder="1" applyAlignment="1">
      <alignment horizontal="center"/>
    </xf>
    <xf numFmtId="165" fontId="0" fillId="0" borderId="0" xfId="0" applyNumberFormat="1" applyFont="1" applyFill="1" applyBorder="1" applyAlignment="1">
      <alignment horizontal="center"/>
    </xf>
    <xf numFmtId="0" fontId="0" fillId="4" borderId="7" xfId="0" applyFont="1" applyFill="1" applyBorder="1" applyAlignment="1">
      <alignment horizontal="left"/>
    </xf>
    <xf numFmtId="165" fontId="0" fillId="4" borderId="7" xfId="0" applyNumberFormat="1" applyFont="1" applyFill="1" applyBorder="1" applyAlignment="1">
      <alignment horizontal="center"/>
    </xf>
    <xf numFmtId="170" fontId="0" fillId="0" borderId="0" xfId="0" applyNumberFormat="1" applyFont="1"/>
    <xf numFmtId="9" fontId="0" fillId="0" borderId="0" xfId="0" applyNumberFormat="1" applyFont="1" applyBorder="1"/>
    <xf numFmtId="0" fontId="0" fillId="0" borderId="0" xfId="0" applyFont="1" applyFill="1" applyBorder="1" applyAlignment="1">
      <alignment horizontal="center"/>
    </xf>
    <xf numFmtId="0" fontId="0" fillId="0" borderId="25" xfId="0" applyFont="1" applyBorder="1" applyAlignment="1">
      <alignment horizontal="center"/>
    </xf>
    <xf numFmtId="0" fontId="0" fillId="0" borderId="0" xfId="0" applyFont="1" applyAlignment="1">
      <alignment vertical="center"/>
    </xf>
    <xf numFmtId="165" fontId="0" fillId="4" borderId="12" xfId="0" applyNumberFormat="1" applyFont="1" applyFill="1" applyBorder="1" applyAlignment="1">
      <alignment horizontal="center"/>
    </xf>
    <xf numFmtId="2" fontId="0" fillId="4" borderId="6" xfId="0" applyNumberFormat="1" applyFont="1" applyFill="1" applyBorder="1" applyAlignment="1">
      <alignment horizontal="center"/>
    </xf>
    <xf numFmtId="49" fontId="0" fillId="4" borderId="0" xfId="0" applyNumberFormat="1" applyFont="1" applyFill="1" applyBorder="1" applyAlignment="1">
      <alignment horizontal="left"/>
    </xf>
    <xf numFmtId="165" fontId="0" fillId="0" borderId="0" xfId="0" applyNumberFormat="1" applyFont="1" applyFill="1" applyBorder="1"/>
    <xf numFmtId="2" fontId="0" fillId="0" borderId="0" xfId="0" applyNumberFormat="1" applyFont="1" applyFill="1" applyAlignment="1">
      <alignment horizontal="center"/>
    </xf>
    <xf numFmtId="2" fontId="0" fillId="3" borderId="0" xfId="0" applyNumberFormat="1" applyFont="1" applyFill="1" applyAlignment="1">
      <alignment horizontal="center"/>
    </xf>
    <xf numFmtId="1" fontId="0" fillId="3" borderId="0" xfId="0" applyNumberFormat="1" applyFont="1" applyFill="1" applyAlignment="1">
      <alignment horizontal="center"/>
    </xf>
    <xf numFmtId="2" fontId="0" fillId="0" borderId="2" xfId="0" applyNumberFormat="1" applyFont="1" applyBorder="1" applyAlignment="1">
      <alignment horizontal="center"/>
    </xf>
    <xf numFmtId="2" fontId="0" fillId="4" borderId="7" xfId="0" applyNumberFormat="1" applyFont="1" applyFill="1" applyBorder="1" applyAlignment="1">
      <alignment horizontal="center" vertical="center"/>
    </xf>
    <xf numFmtId="165" fontId="0" fillId="0" borderId="0" xfId="0" applyNumberFormat="1" applyFont="1" applyAlignment="1">
      <alignment horizontal="center"/>
    </xf>
    <xf numFmtId="9" fontId="0" fillId="0" borderId="0" xfId="1" applyFont="1" applyFill="1" applyAlignment="1">
      <alignment horizontal="right" indent="1"/>
    </xf>
    <xf numFmtId="9" fontId="0" fillId="0" borderId="0" xfId="0" applyNumberFormat="1" applyFont="1" applyFill="1" applyAlignment="1">
      <alignment horizontal="right" indent="1"/>
    </xf>
    <xf numFmtId="9" fontId="0" fillId="0" borderId="0" xfId="0" applyNumberFormat="1" applyFont="1" applyAlignment="1">
      <alignment horizontal="right" indent="1"/>
    </xf>
    <xf numFmtId="0" fontId="0" fillId="0" borderId="0" xfId="0" applyFont="1" applyAlignment="1">
      <alignment horizontal="left" indent="2"/>
    </xf>
    <xf numFmtId="9" fontId="0" fillId="0" borderId="0" xfId="0" applyNumberFormat="1" applyFont="1"/>
    <xf numFmtId="0" fontId="0" fillId="0" borderId="0" xfId="0" applyFont="1" applyFill="1" applyAlignment="1">
      <alignment horizontal="left" indent="1"/>
    </xf>
    <xf numFmtId="0" fontId="2" fillId="4" borderId="10" xfId="0" applyFont="1" applyFill="1" applyBorder="1" applyAlignment="1">
      <alignment horizontal="left" vertical="center" wrapText="1"/>
    </xf>
    <xf numFmtId="3" fontId="2" fillId="4" borderId="27" xfId="0" applyNumberFormat="1" applyFont="1" applyFill="1" applyBorder="1" applyAlignment="1">
      <alignment horizontal="center" vertical="center" wrapText="1"/>
    </xf>
    <xf numFmtId="3" fontId="2" fillId="4" borderId="19" xfId="0" applyNumberFormat="1"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13" xfId="0" applyFont="1" applyFill="1" applyBorder="1" applyAlignment="1">
      <alignment horizontal="left" vertical="center" wrapText="1"/>
    </xf>
    <xf numFmtId="3" fontId="2" fillId="4" borderId="15" xfId="0" applyNumberFormat="1" applyFont="1" applyFill="1" applyBorder="1" applyAlignment="1">
      <alignment horizontal="center" vertical="center" wrapText="1"/>
    </xf>
    <xf numFmtId="3" fontId="2" fillId="4" borderId="6" xfId="0" applyNumberFormat="1" applyFont="1" applyFill="1" applyBorder="1" applyAlignment="1">
      <alignment horizontal="center" vertical="center" wrapText="1"/>
    </xf>
    <xf numFmtId="3" fontId="2" fillId="4" borderId="24" xfId="0" applyNumberFormat="1" applyFont="1" applyFill="1" applyBorder="1" applyAlignment="1">
      <alignment horizontal="center" vertical="center" wrapText="1"/>
    </xf>
    <xf numFmtId="168" fontId="0" fillId="0" borderId="2" xfId="0" applyNumberFormat="1" applyFont="1" applyFill="1" applyBorder="1" applyAlignment="1">
      <alignment horizontal="right" indent="4"/>
    </xf>
    <xf numFmtId="0" fontId="0" fillId="0" borderId="0" xfId="0" applyFont="1" applyFill="1" applyAlignment="1">
      <alignment horizontal="right" indent="4"/>
    </xf>
    <xf numFmtId="3" fontId="0" fillId="0" borderId="0" xfId="0" applyNumberFormat="1" applyFont="1" applyFill="1" applyBorder="1" applyAlignment="1">
      <alignment horizontal="right" indent="4"/>
    </xf>
    <xf numFmtId="3" fontId="0" fillId="0" borderId="22" xfId="0" applyNumberFormat="1" applyFont="1" applyFill="1" applyBorder="1" applyAlignment="1">
      <alignment horizontal="right" indent="4"/>
    </xf>
    <xf numFmtId="0" fontId="0" fillId="4" borderId="0" xfId="0" applyFont="1" applyFill="1" applyBorder="1" applyAlignment="1">
      <alignment horizontal="right" vertical="center" wrapText="1" indent="3"/>
    </xf>
    <xf numFmtId="0" fontId="0" fillId="6" borderId="12" xfId="0" applyFont="1" applyFill="1" applyBorder="1" applyAlignment="1">
      <alignment wrapText="1"/>
    </xf>
    <xf numFmtId="168" fontId="0" fillId="6" borderId="2" xfId="0" applyNumberFormat="1" applyFont="1" applyFill="1" applyBorder="1" applyAlignment="1">
      <alignment horizontal="right" indent="4"/>
    </xf>
    <xf numFmtId="9" fontId="0" fillId="0" borderId="0" xfId="1" applyFont="1" applyAlignment="1">
      <alignment horizontal="right"/>
    </xf>
    <xf numFmtId="0" fontId="0" fillId="0" borderId="12" xfId="0" applyFont="1" applyFill="1" applyBorder="1" applyAlignment="1">
      <alignment horizontal="left" vertical="center"/>
    </xf>
    <xf numFmtId="0" fontId="0" fillId="6" borderId="12" xfId="0" applyFont="1" applyFill="1" applyBorder="1" applyAlignment="1">
      <alignment vertical="center"/>
    </xf>
    <xf numFmtId="0" fontId="0" fillId="6" borderId="13" xfId="0" applyFont="1" applyFill="1" applyBorder="1" applyAlignment="1">
      <alignment vertical="center"/>
    </xf>
    <xf numFmtId="0" fontId="0"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6" fillId="0" borderId="0" xfId="0" applyFont="1" applyFill="1"/>
    <xf numFmtId="0" fontId="4" fillId="0" borderId="0" xfId="0" applyFont="1" applyFill="1"/>
    <xf numFmtId="166" fontId="4" fillId="0" borderId="0" xfId="0" applyNumberFormat="1" applyFont="1"/>
    <xf numFmtId="167" fontId="4" fillId="0" borderId="0" xfId="0" applyNumberFormat="1" applyFont="1"/>
    <xf numFmtId="0" fontId="4" fillId="0" borderId="0" xfId="0" applyFont="1"/>
    <xf numFmtId="0" fontId="18" fillId="0" borderId="0" xfId="0" applyFont="1" applyFill="1"/>
    <xf numFmtId="167" fontId="4" fillId="0" borderId="0" xfId="0" applyNumberFormat="1" applyFont="1" applyFill="1"/>
    <xf numFmtId="0" fontId="2" fillId="0" borderId="0" xfId="0" applyFont="1" applyFill="1"/>
    <xf numFmtId="166" fontId="0" fillId="0" borderId="0" xfId="0" applyNumberFormat="1" applyFont="1"/>
    <xf numFmtId="167" fontId="0" fillId="0" borderId="0" xfId="0" applyNumberFormat="1" applyFont="1" applyFill="1"/>
    <xf numFmtId="10" fontId="21" fillId="0" borderId="0" xfId="0" applyNumberFormat="1" applyFont="1" applyFill="1" applyAlignment="1">
      <alignment horizontal="center"/>
    </xf>
    <xf numFmtId="1" fontId="2" fillId="0" borderId="24" xfId="0" applyNumberFormat="1" applyFont="1" applyFill="1" applyBorder="1" applyAlignment="1">
      <alignment horizontal="center"/>
    </xf>
    <xf numFmtId="1" fontId="2" fillId="0" borderId="6" xfId="0" applyNumberFormat="1" applyFont="1" applyFill="1" applyBorder="1" applyAlignment="1">
      <alignment horizontal="center"/>
    </xf>
    <xf numFmtId="1" fontId="2" fillId="0" borderId="6" xfId="0" applyNumberFormat="1" applyFont="1" applyBorder="1" applyAlignment="1">
      <alignment horizontal="center"/>
    </xf>
    <xf numFmtId="165" fontId="22" fillId="0" borderId="0" xfId="0" applyNumberFormat="1" applyFont="1" applyFill="1" applyBorder="1" applyAlignment="1">
      <alignment horizontal="center"/>
    </xf>
    <xf numFmtId="0" fontId="21" fillId="0" borderId="13" xfId="0" applyFont="1" applyFill="1" applyBorder="1" applyAlignment="1">
      <alignment horizontal="left"/>
    </xf>
    <xf numFmtId="0" fontId="10" fillId="0" borderId="0" xfId="0" applyFont="1" applyFill="1" applyAlignment="1">
      <alignment horizontal="left"/>
    </xf>
    <xf numFmtId="1" fontId="0" fillId="0" borderId="0" xfId="0" applyNumberFormat="1" applyFont="1" applyFill="1" applyAlignment="1">
      <alignment horizontal="center"/>
    </xf>
    <xf numFmtId="0" fontId="0" fillId="0" borderId="11" xfId="0" applyFont="1" applyFill="1" applyBorder="1" applyAlignment="1">
      <alignment horizontal="left"/>
    </xf>
    <xf numFmtId="0" fontId="0" fillId="0" borderId="8" xfId="0" applyFont="1" applyFill="1" applyBorder="1" applyAlignment="1">
      <alignment horizontal="center" vertical="center"/>
    </xf>
    <xf numFmtId="0" fontId="0" fillId="4" borderId="19" xfId="0" applyFont="1" applyFill="1" applyBorder="1" applyAlignment="1">
      <alignment horizontal="center" vertical="center"/>
    </xf>
    <xf numFmtId="0" fontId="0" fillId="2" borderId="8" xfId="0" applyFont="1" applyFill="1" applyBorder="1" applyAlignment="1">
      <alignment horizontal="center" vertical="center"/>
    </xf>
    <xf numFmtId="0" fontId="0" fillId="4" borderId="8"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16" xfId="0" applyFont="1" applyFill="1" applyBorder="1" applyAlignment="1">
      <alignment horizontal="left"/>
    </xf>
    <xf numFmtId="2" fontId="0" fillId="0" borderId="9"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2" fontId="0" fillId="4" borderId="9" xfId="0" applyNumberFormat="1" applyFont="1" applyFill="1" applyBorder="1" applyAlignment="1">
      <alignment horizontal="center" vertical="center"/>
    </xf>
    <xf numFmtId="2" fontId="0" fillId="2" borderId="9" xfId="0" applyNumberFormat="1" applyFont="1" applyFill="1" applyBorder="1" applyAlignment="1">
      <alignment horizontal="center" vertical="center"/>
    </xf>
    <xf numFmtId="164" fontId="0" fillId="4" borderId="9" xfId="0" applyNumberFormat="1" applyFont="1" applyFill="1" applyBorder="1" applyAlignment="1">
      <alignment horizontal="center" vertical="center"/>
    </xf>
    <xf numFmtId="3" fontId="0" fillId="0" borderId="0" xfId="0" applyNumberFormat="1" applyFont="1" applyFill="1" applyBorder="1" applyAlignment="1">
      <alignment horizontal="center"/>
    </xf>
    <xf numFmtId="164" fontId="0" fillId="0" borderId="0" xfId="0" applyNumberFormat="1" applyFont="1" applyFill="1" applyBorder="1" applyAlignment="1">
      <alignment horizontal="center"/>
    </xf>
    <xf numFmtId="0" fontId="10" fillId="0" borderId="0" xfId="0" applyFont="1" applyFill="1"/>
    <xf numFmtId="1" fontId="0" fillId="0" borderId="0" xfId="0" applyNumberFormat="1" applyFont="1" applyFill="1" applyAlignment="1">
      <alignment horizontal="left"/>
    </xf>
    <xf numFmtId="0" fontId="19" fillId="4" borderId="0" xfId="0" applyFont="1" applyFill="1" applyAlignment="1">
      <alignment horizontal="left"/>
    </xf>
    <xf numFmtId="0" fontId="0" fillId="4" borderId="11" xfId="0" applyFont="1" applyFill="1" applyBorder="1" applyAlignment="1">
      <alignment horizontal="left" vertical="center" wrapText="1"/>
    </xf>
    <xf numFmtId="1" fontId="0" fillId="4" borderId="12" xfId="0" applyNumberFormat="1" applyFont="1" applyFill="1" applyBorder="1" applyAlignment="1">
      <alignment horizontal="left" vertical="center"/>
    </xf>
    <xf numFmtId="2" fontId="0" fillId="4" borderId="22" xfId="0" applyNumberFormat="1" applyFont="1" applyFill="1" applyBorder="1" applyAlignment="1">
      <alignment horizontal="center" vertical="center"/>
    </xf>
    <xf numFmtId="3" fontId="0" fillId="4" borderId="0" xfId="0" applyNumberFormat="1" applyFont="1" applyFill="1" applyBorder="1" applyAlignment="1">
      <alignment horizontal="center" vertical="center"/>
    </xf>
    <xf numFmtId="165" fontId="0" fillId="4" borderId="0" xfId="0" applyNumberFormat="1" applyFont="1" applyFill="1" applyBorder="1" applyAlignment="1">
      <alignment horizontal="center" vertical="center"/>
    </xf>
    <xf numFmtId="2" fontId="0" fillId="2" borderId="0" xfId="0" applyNumberFormat="1" applyFont="1" applyFill="1" applyBorder="1" applyAlignment="1">
      <alignment horizontal="center" vertical="center"/>
    </xf>
    <xf numFmtId="164" fontId="0" fillId="4" borderId="0" xfId="0" applyNumberFormat="1" applyFont="1" applyFill="1" applyBorder="1" applyAlignment="1">
      <alignment horizontal="center" vertical="center"/>
    </xf>
    <xf numFmtId="2" fontId="0" fillId="4" borderId="0" xfId="0" applyNumberFormat="1" applyFont="1" applyFill="1" applyAlignment="1">
      <alignment horizontal="center" vertical="center"/>
    </xf>
    <xf numFmtId="3" fontId="0" fillId="4" borderId="0" xfId="0" applyNumberFormat="1" applyFont="1" applyFill="1" applyAlignment="1">
      <alignment horizontal="center" vertical="center"/>
    </xf>
    <xf numFmtId="165" fontId="0" fillId="4" borderId="0" xfId="0" applyNumberFormat="1" applyFont="1" applyFill="1" applyAlignment="1">
      <alignment horizontal="center" vertical="center"/>
    </xf>
    <xf numFmtId="2" fontId="0" fillId="2" borderId="0" xfId="0" applyNumberFormat="1" applyFont="1" applyFill="1" applyAlignment="1">
      <alignment horizontal="center" vertical="center"/>
    </xf>
    <xf numFmtId="164" fontId="0" fillId="4" borderId="0" xfId="0" applyNumberFormat="1" applyFont="1" applyFill="1" applyAlignment="1">
      <alignment horizontal="center" vertical="center"/>
    </xf>
    <xf numFmtId="1" fontId="0" fillId="4" borderId="20" xfId="0" applyNumberFormat="1" applyFont="1" applyFill="1" applyBorder="1" applyAlignment="1">
      <alignment horizontal="left" vertical="center"/>
    </xf>
    <xf numFmtId="2" fontId="0" fillId="4" borderId="18" xfId="0" applyNumberFormat="1" applyFont="1" applyFill="1" applyBorder="1" applyAlignment="1">
      <alignment horizontal="center" vertical="center"/>
    </xf>
    <xf numFmtId="3" fontId="0" fillId="4" borderId="18" xfId="0" applyNumberFormat="1" applyFont="1" applyFill="1" applyBorder="1" applyAlignment="1">
      <alignment horizontal="center" vertical="center"/>
    </xf>
    <xf numFmtId="165" fontId="0" fillId="4" borderId="18" xfId="0" applyNumberFormat="1" applyFont="1" applyFill="1" applyBorder="1" applyAlignment="1">
      <alignment horizontal="center" vertical="center"/>
    </xf>
    <xf numFmtId="2" fontId="0" fillId="2" borderId="18" xfId="0" applyNumberFormat="1" applyFont="1" applyFill="1" applyBorder="1" applyAlignment="1">
      <alignment horizontal="center" vertical="center"/>
    </xf>
    <xf numFmtId="164" fontId="0" fillId="4" borderId="18" xfId="0" applyNumberFormat="1" applyFont="1" applyFill="1" applyBorder="1" applyAlignment="1">
      <alignment horizontal="center" vertical="center"/>
    </xf>
    <xf numFmtId="3" fontId="0" fillId="0" borderId="0" xfId="0" applyNumberFormat="1" applyFont="1" applyFill="1" applyAlignment="1">
      <alignment horizontal="center"/>
    </xf>
    <xf numFmtId="164" fontId="21" fillId="0" borderId="0" xfId="0" applyNumberFormat="1" applyFont="1" applyFill="1" applyBorder="1" applyAlignment="1">
      <alignment horizontal="center"/>
    </xf>
    <xf numFmtId="1" fontId="0" fillId="0" borderId="10" xfId="0" applyNumberFormat="1" applyFont="1" applyFill="1" applyBorder="1" applyAlignment="1">
      <alignment horizontal="left"/>
    </xf>
    <xf numFmtId="1" fontId="2" fillId="0" borderId="19" xfId="0" applyNumberFormat="1" applyFont="1" applyFill="1" applyBorder="1" applyAlignment="1">
      <alignment horizontal="center"/>
    </xf>
    <xf numFmtId="0" fontId="2" fillId="0" borderId="13" xfId="0" applyFont="1" applyFill="1" applyBorder="1"/>
    <xf numFmtId="1" fontId="2" fillId="0" borderId="13" xfId="0" applyNumberFormat="1" applyFont="1" applyBorder="1" applyAlignment="1">
      <alignment horizontal="center"/>
    </xf>
    <xf numFmtId="1" fontId="2" fillId="0" borderId="24" xfId="0" applyNumberFormat="1" applyFont="1" applyBorder="1" applyAlignment="1">
      <alignment horizontal="center"/>
    </xf>
    <xf numFmtId="3" fontId="0" fillId="0" borderId="0" xfId="0" applyNumberFormat="1" applyFont="1" applyFill="1" applyAlignment="1">
      <alignment horizontal="right" indent="1"/>
    </xf>
    <xf numFmtId="3" fontId="0" fillId="0" borderId="12" xfId="0" applyNumberFormat="1" applyFont="1" applyFill="1" applyBorder="1" applyAlignment="1">
      <alignment horizontal="right" indent="1"/>
    </xf>
    <xf numFmtId="3" fontId="0" fillId="0" borderId="0" xfId="0" applyNumberFormat="1" applyFont="1" applyFill="1" applyAlignment="1">
      <alignment horizontal="right" indent="2"/>
    </xf>
    <xf numFmtId="1" fontId="2" fillId="0" borderId="0" xfId="0" applyNumberFormat="1" applyFont="1" applyFill="1" applyAlignment="1">
      <alignment horizontal="center"/>
    </xf>
    <xf numFmtId="0" fontId="0" fillId="0" borderId="13" xfId="0" applyFont="1" applyFill="1" applyBorder="1"/>
    <xf numFmtId="3" fontId="0" fillId="0" borderId="6" xfId="0" applyNumberFormat="1" applyFont="1" applyFill="1" applyBorder="1" applyAlignment="1">
      <alignment horizontal="right" indent="1"/>
    </xf>
    <xf numFmtId="3" fontId="0" fillId="0" borderId="13" xfId="0" applyNumberFormat="1" applyFont="1" applyFill="1" applyBorder="1" applyAlignment="1">
      <alignment horizontal="right" indent="1"/>
    </xf>
    <xf numFmtId="3" fontId="0" fillId="0" borderId="24" xfId="0" applyNumberFormat="1" applyFont="1" applyFill="1" applyBorder="1" applyAlignment="1">
      <alignment horizontal="right" indent="1"/>
    </xf>
    <xf numFmtId="3" fontId="2" fillId="0" borderId="0" xfId="0" applyNumberFormat="1" applyFont="1" applyFill="1" applyAlignment="1">
      <alignment horizontal="right" indent="1"/>
    </xf>
    <xf numFmtId="3" fontId="2" fillId="0" borderId="12" xfId="0" applyNumberFormat="1" applyFont="1" applyFill="1" applyBorder="1" applyAlignment="1">
      <alignment horizontal="right" indent="1"/>
    </xf>
    <xf numFmtId="3" fontId="0" fillId="0" borderId="0" xfId="0" applyNumberFormat="1" applyFont="1" applyAlignment="1">
      <alignment horizontal="center"/>
    </xf>
    <xf numFmtId="0" fontId="2" fillId="0" borderId="16" xfId="0" applyFont="1" applyFill="1" applyBorder="1"/>
    <xf numFmtId="3" fontId="0" fillId="0" borderId="9" xfId="0" applyNumberFormat="1" applyFont="1" applyFill="1" applyBorder="1" applyAlignment="1">
      <alignment horizontal="right" indent="1"/>
    </xf>
    <xf numFmtId="3" fontId="0" fillId="0" borderId="16" xfId="0" applyNumberFormat="1" applyFont="1" applyFill="1" applyBorder="1" applyAlignment="1">
      <alignment horizontal="right" indent="1"/>
    </xf>
    <xf numFmtId="0" fontId="2" fillId="0" borderId="0" xfId="0" applyFont="1" applyFill="1" applyBorder="1"/>
    <xf numFmtId="3" fontId="2" fillId="0" borderId="0" xfId="0" applyNumberFormat="1" applyFont="1" applyFill="1" applyAlignment="1">
      <alignment horizontal="center"/>
    </xf>
    <xf numFmtId="0" fontId="0" fillId="0" borderId="25" xfId="0" applyFont="1" applyFill="1" applyBorder="1"/>
    <xf numFmtId="3" fontId="0" fillId="0" borderId="25" xfId="0" applyNumberFormat="1" applyFont="1" applyFill="1" applyBorder="1" applyAlignment="1">
      <alignment horizontal="right" indent="1"/>
    </xf>
    <xf numFmtId="0" fontId="2" fillId="0" borderId="0" xfId="0" applyFont="1" applyFill="1" applyAlignment="1">
      <alignment horizontal="center"/>
    </xf>
    <xf numFmtId="0" fontId="0" fillId="0" borderId="10" xfId="0" applyFont="1" applyFill="1" applyBorder="1" applyAlignment="1">
      <alignment horizontal="left"/>
    </xf>
    <xf numFmtId="0" fontId="2" fillId="0" borderId="19" xfId="0" applyFont="1" applyFill="1" applyBorder="1" applyAlignment="1">
      <alignment horizontal="center"/>
    </xf>
    <xf numFmtId="0" fontId="2" fillId="0" borderId="13" xfId="0" applyFont="1" applyFill="1" applyBorder="1" applyAlignment="1">
      <alignment horizontal="left"/>
    </xf>
    <xf numFmtId="0" fontId="2" fillId="0" borderId="24" xfId="0" applyFont="1" applyFill="1" applyBorder="1" applyAlignment="1">
      <alignment horizontal="center"/>
    </xf>
    <xf numFmtId="0" fontId="2" fillId="0" borderId="12" xfId="0" applyFont="1" applyFill="1" applyBorder="1" applyAlignment="1">
      <alignment horizontal="left"/>
    </xf>
    <xf numFmtId="0" fontId="2" fillId="0" borderId="22" xfId="0" applyFont="1" applyFill="1" applyBorder="1" applyAlignment="1">
      <alignment horizontal="center"/>
    </xf>
    <xf numFmtId="3" fontId="2" fillId="0" borderId="22" xfId="0" applyNumberFormat="1" applyFont="1" applyFill="1" applyBorder="1" applyAlignment="1">
      <alignment horizontal="right" indent="1"/>
    </xf>
    <xf numFmtId="3" fontId="2" fillId="6" borderId="22" xfId="0" applyNumberFormat="1" applyFont="1" applyFill="1" applyBorder="1" applyAlignment="1">
      <alignment horizontal="right" indent="1"/>
    </xf>
    <xf numFmtId="3" fontId="2" fillId="0" borderId="22" xfId="0" applyNumberFormat="1" applyFont="1" applyFill="1" applyBorder="1" applyAlignment="1">
      <alignment horizontal="center"/>
    </xf>
    <xf numFmtId="0" fontId="0" fillId="0" borderId="12" xfId="0" applyFont="1" applyFill="1" applyBorder="1" applyAlignment="1">
      <alignment wrapText="1"/>
    </xf>
    <xf numFmtId="168" fontId="0" fillId="0" borderId="0" xfId="0" applyNumberFormat="1" applyFont="1" applyFill="1" applyBorder="1" applyAlignment="1">
      <alignment horizontal="center"/>
    </xf>
    <xf numFmtId="0" fontId="10" fillId="3" borderId="0" xfId="0" applyFont="1" applyFill="1" applyBorder="1"/>
    <xf numFmtId="0" fontId="0" fillId="3" borderId="0" xfId="0" applyFont="1" applyFill="1" applyBorder="1" applyAlignment="1">
      <alignment horizontal="center" vertical="center"/>
    </xf>
    <xf numFmtId="0" fontId="0" fillId="3" borderId="0" xfId="0" applyFont="1" applyFill="1" applyBorder="1"/>
    <xf numFmtId="0" fontId="0" fillId="0" borderId="19" xfId="0" applyFont="1" applyBorder="1"/>
    <xf numFmtId="0" fontId="0" fillId="0" borderId="19" xfId="0" applyFont="1" applyBorder="1" applyAlignment="1">
      <alignment horizontal="center"/>
    </xf>
    <xf numFmtId="0" fontId="0" fillId="0" borderId="10" xfId="0" applyFont="1" applyBorder="1" applyAlignment="1">
      <alignment horizontal="center"/>
    </xf>
    <xf numFmtId="2" fontId="2" fillId="0" borderId="9" xfId="0" applyNumberFormat="1" applyFont="1" applyFill="1" applyBorder="1" applyAlignment="1">
      <alignment horizontal="left"/>
    </xf>
    <xf numFmtId="0" fontId="0" fillId="0" borderId="9" xfId="0" applyFont="1" applyFill="1" applyBorder="1"/>
    <xf numFmtId="0" fontId="0" fillId="0" borderId="9" xfId="0" applyFont="1" applyBorder="1" applyAlignment="1">
      <alignment horizontal="center"/>
    </xf>
    <xf numFmtId="0" fontId="2" fillId="0" borderId="9" xfId="0" applyFont="1" applyFill="1" applyBorder="1"/>
    <xf numFmtId="165" fontId="2" fillId="4" borderId="16" xfId="0" applyNumberFormat="1" applyFont="1" applyFill="1" applyBorder="1" applyAlignment="1">
      <alignment horizontal="center"/>
    </xf>
    <xf numFmtId="2" fontId="2" fillId="4" borderId="9" xfId="0" applyNumberFormat="1" applyFont="1" applyFill="1" applyBorder="1" applyAlignment="1">
      <alignment horizontal="center"/>
    </xf>
    <xf numFmtId="165" fontId="2" fillId="4" borderId="9" xfId="0" applyNumberFormat="1" applyFont="1" applyFill="1" applyBorder="1" applyAlignment="1">
      <alignment horizontal="center"/>
    </xf>
    <xf numFmtId="165" fontId="2" fillId="0" borderId="16" xfId="0" applyNumberFormat="1" applyFont="1" applyFill="1" applyBorder="1" applyAlignment="1">
      <alignment horizontal="center"/>
    </xf>
    <xf numFmtId="0" fontId="2" fillId="4" borderId="9" xfId="0" applyFont="1" applyFill="1" applyBorder="1" applyAlignment="1">
      <alignment horizontal="left" vertical="center" wrapText="1"/>
    </xf>
    <xf numFmtId="0" fontId="2" fillId="0" borderId="18" xfId="0" applyFont="1" applyFill="1" applyBorder="1" applyAlignment="1">
      <alignment horizontal="left"/>
    </xf>
    <xf numFmtId="2" fontId="2" fillId="4" borderId="18" xfId="0" applyNumberFormat="1" applyFont="1" applyFill="1" applyBorder="1" applyAlignment="1">
      <alignment horizontal="center"/>
    </xf>
    <xf numFmtId="0" fontId="2" fillId="0" borderId="9" xfId="0" applyFont="1" applyBorder="1" applyAlignment="1">
      <alignment wrapText="1"/>
    </xf>
    <xf numFmtId="164" fontId="0" fillId="0" borderId="17" xfId="0" applyNumberFormat="1" applyFont="1" applyBorder="1" applyAlignment="1">
      <alignment horizontal="center"/>
    </xf>
    <xf numFmtId="164" fontId="0" fillId="0" borderId="9" xfId="0" applyNumberFormat="1" applyFont="1" applyBorder="1" applyAlignment="1">
      <alignment horizontal="center"/>
    </xf>
    <xf numFmtId="0" fontId="2" fillId="4" borderId="8" xfId="0" applyFont="1" applyFill="1" applyBorder="1" applyAlignment="1">
      <alignment horizontal="left" vertical="center"/>
    </xf>
    <xf numFmtId="0" fontId="2" fillId="4" borderId="8" xfId="0" applyFont="1" applyFill="1" applyBorder="1" applyAlignment="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center" vertical="center" wrapText="1"/>
    </xf>
    <xf numFmtId="0" fontId="0" fillId="6" borderId="12" xfId="0" applyFont="1" applyFill="1" applyBorder="1" applyAlignment="1">
      <alignment horizontal="center"/>
    </xf>
    <xf numFmtId="0" fontId="0" fillId="0" borderId="11" xfId="0" applyFont="1" applyBorder="1" applyAlignment="1">
      <alignment horizontal="center"/>
    </xf>
    <xf numFmtId="0" fontId="0" fillId="0" borderId="11" xfId="0" applyFont="1" applyBorder="1"/>
    <xf numFmtId="0" fontId="0" fillId="4" borderId="12" xfId="0" applyFont="1" applyFill="1" applyBorder="1" applyAlignment="1">
      <alignment horizontal="center"/>
    </xf>
    <xf numFmtId="49" fontId="0" fillId="4" borderId="12" xfId="0" applyNumberFormat="1" applyFont="1" applyFill="1" applyBorder="1" applyAlignment="1">
      <alignment horizontal="center"/>
    </xf>
    <xf numFmtId="49" fontId="0" fillId="6" borderId="12" xfId="0" applyNumberFormat="1" applyFont="1" applyFill="1" applyBorder="1" applyAlignment="1">
      <alignment horizontal="center"/>
    </xf>
    <xf numFmtId="165" fontId="0" fillId="6" borderId="0" xfId="0" applyNumberFormat="1" applyFont="1" applyFill="1" applyBorder="1" applyAlignment="1">
      <alignment horizontal="center"/>
    </xf>
    <xf numFmtId="165" fontId="0" fillId="6" borderId="12" xfId="0" applyNumberFormat="1" applyFont="1" applyFill="1" applyBorder="1" applyAlignment="1">
      <alignment horizontal="center"/>
    </xf>
    <xf numFmtId="49" fontId="0" fillId="6" borderId="13" xfId="0" applyNumberFormat="1" applyFont="1" applyFill="1" applyBorder="1" applyAlignment="1">
      <alignment horizontal="center"/>
    </xf>
    <xf numFmtId="2" fontId="0" fillId="6" borderId="6" xfId="0" applyNumberFormat="1" applyFont="1" applyFill="1" applyBorder="1" applyAlignment="1">
      <alignment horizontal="center"/>
    </xf>
    <xf numFmtId="165" fontId="0" fillId="6" borderId="6" xfId="0" applyNumberFormat="1" applyFont="1" applyFill="1" applyBorder="1" applyAlignment="1">
      <alignment horizontal="center"/>
    </xf>
    <xf numFmtId="165" fontId="0" fillId="6" borderId="13" xfId="0" applyNumberFormat="1" applyFont="1" applyFill="1" applyBorder="1" applyAlignment="1">
      <alignment horizontal="center"/>
    </xf>
    <xf numFmtId="165" fontId="0" fillId="6" borderId="24" xfId="0" applyNumberFormat="1" applyFont="1" applyFill="1" applyBorder="1" applyAlignment="1">
      <alignment horizontal="center"/>
    </xf>
    <xf numFmtId="2" fontId="0" fillId="6" borderId="0" xfId="0" applyNumberFormat="1" applyFont="1" applyFill="1" applyBorder="1" applyAlignment="1">
      <alignment horizontal="center" vertical="center" wrapText="1"/>
    </xf>
    <xf numFmtId="0" fontId="10" fillId="6" borderId="0" xfId="0" applyFont="1" applyFill="1" applyBorder="1" applyAlignment="1">
      <alignment horizontal="left"/>
    </xf>
    <xf numFmtId="2" fontId="0" fillId="6" borderId="2" xfId="0" applyNumberFormat="1" applyFont="1" applyFill="1" applyBorder="1" applyAlignment="1">
      <alignment horizontal="center"/>
    </xf>
    <xf numFmtId="2" fontId="0" fillId="6" borderId="0" xfId="0" applyNumberFormat="1" applyFont="1" applyFill="1" applyBorder="1" applyAlignment="1">
      <alignment horizontal="center" vertical="center"/>
    </xf>
    <xf numFmtId="0" fontId="10" fillId="0" borderId="18" xfId="0" applyFont="1" applyBorder="1" applyAlignment="1"/>
    <xf numFmtId="0" fontId="10" fillId="0" borderId="10" xfId="0" applyFont="1" applyBorder="1" applyAlignment="1">
      <alignment horizontal="center"/>
    </xf>
    <xf numFmtId="3" fontId="0" fillId="6" borderId="12" xfId="0" applyNumberFormat="1" applyFont="1" applyFill="1" applyBorder="1" applyAlignment="1">
      <alignment horizontal="right" indent="2"/>
    </xf>
    <xf numFmtId="0" fontId="0" fillId="6" borderId="20" xfId="0" applyFont="1" applyFill="1" applyBorder="1" applyAlignment="1">
      <alignment horizontal="center"/>
    </xf>
    <xf numFmtId="0" fontId="2" fillId="0" borderId="13" xfId="0" applyFont="1" applyBorder="1" applyAlignment="1">
      <alignment horizontal="center" wrapText="1"/>
    </xf>
    <xf numFmtId="3" fontId="0" fillId="6" borderId="18" xfId="0" applyNumberFormat="1" applyFont="1" applyFill="1" applyBorder="1" applyAlignment="1">
      <alignment horizontal="right" indent="1"/>
    </xf>
    <xf numFmtId="0" fontId="2" fillId="0" borderId="8" xfId="0" applyFont="1" applyFill="1" applyBorder="1" applyAlignment="1">
      <alignment horizontal="center" wrapText="1"/>
    </xf>
    <xf numFmtId="3" fontId="0" fillId="0" borderId="5" xfId="0" applyNumberFormat="1" applyFont="1" applyBorder="1" applyAlignment="1">
      <alignment horizontal="right" indent="1"/>
    </xf>
    <xf numFmtId="3" fontId="0" fillId="0" borderId="3" xfId="0" applyNumberFormat="1" applyFont="1" applyBorder="1" applyAlignment="1">
      <alignment horizontal="right" indent="1"/>
    </xf>
    <xf numFmtId="0" fontId="0" fillId="0" borderId="10" xfId="0" applyFont="1" applyBorder="1" applyAlignment="1">
      <alignment horizontal="right"/>
    </xf>
    <xf numFmtId="0" fontId="0" fillId="0" borderId="3" xfId="0" applyFont="1" applyBorder="1" applyAlignment="1">
      <alignment horizontal="left"/>
    </xf>
    <xf numFmtId="0" fontId="2" fillId="0" borderId="16" xfId="0" applyFont="1" applyBorder="1" applyAlignment="1">
      <alignment horizontal="left" wrapText="1"/>
    </xf>
    <xf numFmtId="169" fontId="0" fillId="6" borderId="0" xfId="0" applyNumberFormat="1" applyFont="1" applyFill="1" applyBorder="1" applyAlignment="1">
      <alignment horizontal="right" indent="1"/>
    </xf>
    <xf numFmtId="9" fontId="0" fillId="6" borderId="0" xfId="1" applyFont="1" applyFill="1" applyAlignment="1">
      <alignment horizontal="right" indent="1"/>
    </xf>
    <xf numFmtId="169" fontId="0" fillId="6" borderId="0" xfId="0" applyNumberFormat="1" applyFont="1" applyFill="1" applyAlignment="1">
      <alignment horizontal="right" indent="1"/>
    </xf>
    <xf numFmtId="3" fontId="0" fillId="6" borderId="6" xfId="0" applyNumberFormat="1" applyFont="1" applyFill="1" applyBorder="1" applyAlignment="1">
      <alignment horizontal="right" indent="1"/>
    </xf>
    <xf numFmtId="3" fontId="0" fillId="6" borderId="13" xfId="0" applyNumberFormat="1" applyFont="1" applyFill="1" applyBorder="1" applyAlignment="1">
      <alignment horizontal="right" indent="1"/>
    </xf>
    <xf numFmtId="0" fontId="2" fillId="0" borderId="10" xfId="0" applyFont="1" applyBorder="1" applyAlignment="1">
      <alignment horizontal="left"/>
    </xf>
    <xf numFmtId="3" fontId="0" fillId="6" borderId="18" xfId="0" applyNumberFormat="1" applyFont="1" applyFill="1" applyBorder="1"/>
    <xf numFmtId="0" fontId="0" fillId="0" borderId="12" xfId="0" applyFont="1" applyFill="1" applyBorder="1" applyAlignment="1">
      <alignment horizontal="left"/>
    </xf>
    <xf numFmtId="3" fontId="0" fillId="6" borderId="24" xfId="0" applyNumberFormat="1" applyFont="1" applyFill="1" applyBorder="1" applyAlignment="1">
      <alignment horizontal="right" indent="1"/>
    </xf>
    <xf numFmtId="3" fontId="0" fillId="6" borderId="24" xfId="0" applyNumberFormat="1" applyFont="1" applyFill="1" applyBorder="1"/>
    <xf numFmtId="0" fontId="10" fillId="3" borderId="18" xfId="0" applyFont="1" applyFill="1" applyBorder="1" applyAlignment="1"/>
    <xf numFmtId="0" fontId="2" fillId="0" borderId="0" xfId="0" applyFont="1" applyBorder="1" applyAlignment="1">
      <alignment horizontal="center" wrapText="1"/>
    </xf>
    <xf numFmtId="0" fontId="20" fillId="0" borderId="0" xfId="0" applyFont="1" applyFill="1" applyAlignment="1">
      <alignment horizontal="center" vertical="top" wrapText="1"/>
    </xf>
    <xf numFmtId="0" fontId="18" fillId="3" borderId="0" xfId="0" applyFont="1" applyFill="1"/>
    <xf numFmtId="0" fontId="25" fillId="0" borderId="0" xfId="0" applyFont="1" applyFill="1" applyAlignment="1">
      <alignment horizontal="left"/>
    </xf>
    <xf numFmtId="9" fontId="0" fillId="0" borderId="9" xfId="0" applyNumberFormat="1" applyFont="1" applyBorder="1" applyAlignment="1">
      <alignment horizontal="right" indent="1"/>
    </xf>
    <xf numFmtId="9" fontId="0" fillId="0" borderId="0" xfId="0" applyNumberFormat="1" applyFill="1" applyAlignment="1">
      <alignment horizontal="right"/>
    </xf>
    <xf numFmtId="1" fontId="0" fillId="0" borderId="0" xfId="0" applyNumberFormat="1" applyFont="1" applyFill="1" applyBorder="1"/>
    <xf numFmtId="0" fontId="2" fillId="0" borderId="0" xfId="0" applyFont="1" applyFill="1" applyBorder="1" applyAlignment="1">
      <alignment horizontal="left" vertical="center" wrapText="1"/>
    </xf>
    <xf numFmtId="0" fontId="2" fillId="0" borderId="6" xfId="0" applyFont="1" applyFill="1" applyBorder="1" applyAlignment="1">
      <alignment horizontal="center"/>
    </xf>
    <xf numFmtId="168" fontId="0" fillId="0" borderId="18" xfId="0" applyNumberFormat="1" applyFont="1" applyBorder="1" applyAlignment="1">
      <alignment horizontal="right" indent="1"/>
    </xf>
    <xf numFmtId="0" fontId="0" fillId="0" borderId="12" xfId="0" applyFont="1" applyFill="1" applyBorder="1" applyAlignment="1">
      <alignment horizontal="left" vertical="center" wrapText="1"/>
    </xf>
    <xf numFmtId="0" fontId="0" fillId="0" borderId="20" xfId="0" applyFont="1" applyFill="1" applyBorder="1" applyAlignment="1">
      <alignment horizontal="left" vertical="center"/>
    </xf>
    <xf numFmtId="175" fontId="0" fillId="0" borderId="0" xfId="0" applyNumberFormat="1" applyFont="1" applyAlignment="1">
      <alignment horizontal="right" indent="1"/>
    </xf>
    <xf numFmtId="0" fontId="26" fillId="0" borderId="0" xfId="0" applyFont="1"/>
    <xf numFmtId="9" fontId="2" fillId="6" borderId="20" xfId="0" applyNumberFormat="1" applyFont="1" applyFill="1" applyBorder="1" applyAlignment="1">
      <alignment horizontal="left"/>
    </xf>
    <xf numFmtId="9" fontId="0" fillId="0" borderId="0" xfId="1" applyFont="1" applyBorder="1" applyAlignment="1">
      <alignment horizontal="right" indent="1"/>
    </xf>
    <xf numFmtId="0" fontId="2" fillId="4" borderId="12" xfId="0" applyFont="1" applyFill="1" applyBorder="1" applyAlignment="1">
      <alignment horizontal="left" vertical="center"/>
    </xf>
    <xf numFmtId="0" fontId="10" fillId="0" borderId="0" xfId="0" applyFont="1" applyBorder="1" applyAlignment="1"/>
    <xf numFmtId="3" fontId="2" fillId="3" borderId="0" xfId="0" applyNumberFormat="1" applyFont="1" applyFill="1" applyBorder="1" applyAlignment="1">
      <alignment horizontal="right" vertical="center" indent="1"/>
    </xf>
    <xf numFmtId="176" fontId="2" fillId="0" borderId="9" xfId="5" applyNumberFormat="1" applyFont="1" applyBorder="1" applyAlignment="1">
      <alignment horizontal="right" indent="1"/>
    </xf>
    <xf numFmtId="0" fontId="2" fillId="0" borderId="12" xfId="0" applyFont="1" applyBorder="1" applyAlignment="1">
      <alignment vertical="center"/>
    </xf>
    <xf numFmtId="0" fontId="0" fillId="0" borderId="12" xfId="0" applyFont="1" applyBorder="1" applyAlignment="1">
      <alignment horizontal="left" vertical="center" indent="1"/>
    </xf>
    <xf numFmtId="0" fontId="0" fillId="6" borderId="12" xfId="0" applyFont="1" applyFill="1" applyBorder="1" applyAlignment="1">
      <alignment horizontal="left" vertical="center" indent="1"/>
    </xf>
    <xf numFmtId="0" fontId="0" fillId="0" borderId="12" xfId="0" applyFont="1" applyFill="1" applyBorder="1" applyAlignment="1">
      <alignment horizontal="left" vertical="center" indent="1"/>
    </xf>
    <xf numFmtId="168" fontId="0" fillId="0" borderId="0" xfId="0" applyNumberFormat="1" applyFont="1" applyFill="1" applyBorder="1" applyAlignment="1">
      <alignment horizontal="right" vertical="center" indent="1"/>
    </xf>
    <xf numFmtId="0" fontId="2" fillId="0" borderId="13" xfId="0" applyFont="1" applyBorder="1" applyAlignment="1">
      <alignment horizontal="center"/>
    </xf>
    <xf numFmtId="176" fontId="0" fillId="0" borderId="0" xfId="0" applyNumberFormat="1" applyFont="1" applyFill="1" applyBorder="1" applyAlignment="1">
      <alignment horizontal="right" vertical="center" indent="1"/>
    </xf>
    <xf numFmtId="176" fontId="0" fillId="6" borderId="0" xfId="0" applyNumberFormat="1" applyFont="1" applyFill="1" applyBorder="1" applyAlignment="1">
      <alignment horizontal="right" vertical="center" indent="1"/>
    </xf>
    <xf numFmtId="176" fontId="2" fillId="4" borderId="9" xfId="0" applyNumberFormat="1" applyFont="1" applyFill="1" applyBorder="1" applyAlignment="1">
      <alignment horizontal="right" vertical="center" indent="1"/>
    </xf>
    <xf numFmtId="176" fontId="0" fillId="0" borderId="0" xfId="0" applyNumberFormat="1" applyFont="1" applyBorder="1" applyAlignment="1">
      <alignment horizontal="right" vertical="center" indent="1"/>
    </xf>
    <xf numFmtId="176" fontId="2" fillId="0" borderId="9" xfId="0" applyNumberFormat="1" applyFont="1" applyFill="1" applyBorder="1" applyAlignment="1">
      <alignment horizontal="right" vertical="center" indent="1"/>
    </xf>
    <xf numFmtId="176" fontId="0" fillId="0" borderId="22" xfId="0" applyNumberFormat="1" applyFont="1" applyBorder="1" applyAlignment="1">
      <alignment horizontal="right" indent="2"/>
    </xf>
    <xf numFmtId="176" fontId="0" fillId="0" borderId="0" xfId="0" applyNumberFormat="1" applyFont="1" applyBorder="1" applyAlignment="1">
      <alignment horizontal="right" indent="2"/>
    </xf>
    <xf numFmtId="176" fontId="0" fillId="0" borderId="12" xfId="0" applyNumberFormat="1" applyFont="1" applyBorder="1" applyAlignment="1">
      <alignment horizontal="right" indent="2"/>
    </xf>
    <xf numFmtId="176" fontId="0" fillId="0" borderId="2" xfId="0" applyNumberFormat="1" applyFont="1" applyBorder="1" applyAlignment="1">
      <alignment horizontal="right" indent="2"/>
    </xf>
    <xf numFmtId="176" fontId="0" fillId="6" borderId="22" xfId="0" applyNumberFormat="1" applyFont="1" applyFill="1" applyBorder="1" applyAlignment="1">
      <alignment horizontal="right" indent="2"/>
    </xf>
    <xf numFmtId="176" fontId="0" fillId="6" borderId="0" xfId="0" applyNumberFormat="1" applyFont="1" applyFill="1" applyBorder="1" applyAlignment="1">
      <alignment horizontal="right" indent="2"/>
    </xf>
    <xf numFmtId="176" fontId="0" fillId="6" borderId="12" xfId="0" applyNumberFormat="1" applyFont="1" applyFill="1" applyBorder="1" applyAlignment="1">
      <alignment horizontal="right" indent="2"/>
    </xf>
    <xf numFmtId="176" fontId="0" fillId="6" borderId="2" xfId="0" applyNumberFormat="1" applyFont="1" applyFill="1" applyBorder="1" applyAlignment="1">
      <alignment horizontal="right" indent="2"/>
    </xf>
    <xf numFmtId="176" fontId="0" fillId="6" borderId="23" xfId="0" applyNumberFormat="1" applyFont="1" applyFill="1" applyBorder="1" applyAlignment="1">
      <alignment horizontal="right" indent="2"/>
    </xf>
    <xf numFmtId="176" fontId="0" fillId="6" borderId="18" xfId="0" applyNumberFormat="1" applyFont="1" applyFill="1" applyBorder="1" applyAlignment="1">
      <alignment horizontal="right" indent="2"/>
    </xf>
    <xf numFmtId="176" fontId="0" fillId="6" borderId="20" xfId="0" applyNumberFormat="1" applyFont="1" applyFill="1" applyBorder="1" applyAlignment="1">
      <alignment horizontal="right" indent="2"/>
    </xf>
    <xf numFmtId="176" fontId="0" fillId="6" borderId="28" xfId="0" applyNumberFormat="1" applyFont="1" applyFill="1" applyBorder="1" applyAlignment="1">
      <alignment horizontal="right" indent="2"/>
    </xf>
    <xf numFmtId="176" fontId="0" fillId="0" borderId="34" xfId="0" applyNumberFormat="1" applyFont="1" applyBorder="1" applyAlignment="1">
      <alignment horizontal="right" indent="1"/>
    </xf>
    <xf numFmtId="176" fontId="0" fillId="0" borderId="0" xfId="0" applyNumberFormat="1" applyFont="1" applyBorder="1" applyAlignment="1">
      <alignment horizontal="right" indent="1"/>
    </xf>
    <xf numFmtId="176" fontId="0" fillId="6" borderId="2" xfId="0" applyNumberFormat="1" applyFont="1" applyFill="1" applyBorder="1" applyAlignment="1">
      <alignment horizontal="right" indent="1"/>
    </xf>
    <xf numFmtId="176" fontId="0" fillId="6" borderId="0" xfId="0" applyNumberFormat="1" applyFont="1" applyFill="1" applyBorder="1" applyAlignment="1">
      <alignment horizontal="right" indent="1"/>
    </xf>
    <xf numFmtId="176" fontId="0" fillId="0" borderId="2" xfId="0" applyNumberFormat="1" applyFont="1" applyBorder="1" applyAlignment="1">
      <alignment horizontal="right" indent="1"/>
    </xf>
    <xf numFmtId="176" fontId="0" fillId="6" borderId="28" xfId="0" applyNumberFormat="1" applyFont="1" applyFill="1" applyBorder="1" applyAlignment="1">
      <alignment horizontal="right" indent="1"/>
    </xf>
    <xf numFmtId="176" fontId="0" fillId="0" borderId="0" xfId="0" applyNumberFormat="1" applyFont="1" applyAlignment="1">
      <alignment horizontal="right" indent="2"/>
    </xf>
    <xf numFmtId="176" fontId="0" fillId="0" borderId="12" xfId="0" applyNumberFormat="1" applyFont="1" applyBorder="1" applyAlignment="1">
      <alignment horizontal="right" indent="1"/>
    </xf>
    <xf numFmtId="176" fontId="0" fillId="6" borderId="0" xfId="0" applyNumberFormat="1" applyFont="1" applyFill="1" applyAlignment="1">
      <alignment horizontal="right" indent="2"/>
    </xf>
    <xf numFmtId="176" fontId="0" fillId="6" borderId="12" xfId="0" applyNumberFormat="1" applyFont="1" applyFill="1" applyBorder="1" applyAlignment="1">
      <alignment horizontal="right" indent="1"/>
    </xf>
    <xf numFmtId="176" fontId="0" fillId="0" borderId="9" xfId="0" applyNumberFormat="1" applyFont="1" applyBorder="1" applyAlignment="1">
      <alignment horizontal="right" indent="1"/>
    </xf>
    <xf numFmtId="0" fontId="0" fillId="6" borderId="13" xfId="0" quotePrefix="1" applyFont="1" applyFill="1" applyBorder="1" applyAlignment="1">
      <alignment horizontal="center"/>
    </xf>
    <xf numFmtId="0" fontId="2" fillId="0" borderId="32" xfId="0" applyFont="1" applyBorder="1" applyAlignment="1">
      <alignment horizontal="center" vertical="top" wrapText="1"/>
    </xf>
    <xf numFmtId="3" fontId="0" fillId="6" borderId="16" xfId="0" applyNumberFormat="1" applyFont="1" applyFill="1" applyBorder="1" applyAlignment="1">
      <alignment horizontal="right" indent="1"/>
    </xf>
    <xf numFmtId="0" fontId="0" fillId="6" borderId="18" xfId="0" applyFont="1" applyFill="1" applyBorder="1" applyAlignment="1">
      <alignment horizontal="right" indent="1"/>
    </xf>
    <xf numFmtId="176" fontId="0" fillId="0" borderId="0" xfId="5" applyNumberFormat="1" applyFont="1"/>
    <xf numFmtId="176" fontId="2" fillId="0" borderId="0" xfId="0" applyNumberFormat="1" applyFont="1" applyFill="1"/>
    <xf numFmtId="0" fontId="27" fillId="4" borderId="8" xfId="0" applyFont="1" applyFill="1" applyBorder="1" applyAlignment="1">
      <alignment horizontal="center" vertical="center" wrapText="1"/>
    </xf>
    <xf numFmtId="0" fontId="27" fillId="0" borderId="6" xfId="0" applyFont="1" applyFill="1" applyBorder="1" applyAlignment="1">
      <alignment horizontal="center" wrapText="1"/>
    </xf>
    <xf numFmtId="0" fontId="10" fillId="3" borderId="0" xfId="0" applyFont="1" applyFill="1" applyBorder="1" applyAlignment="1"/>
    <xf numFmtId="2" fontId="0" fillId="4" borderId="0" xfId="0" applyNumberFormat="1" applyFont="1" applyFill="1" applyBorder="1" applyAlignment="1">
      <alignment horizontal="center" vertical="center"/>
    </xf>
    <xf numFmtId="0" fontId="28" fillId="0" borderId="16" xfId="0" applyFont="1" applyFill="1" applyBorder="1" applyAlignment="1">
      <alignment horizontal="left"/>
    </xf>
    <xf numFmtId="165" fontId="28" fillId="0" borderId="9" xfId="0" applyNumberFormat="1" applyFont="1" applyFill="1" applyBorder="1" applyAlignment="1">
      <alignment horizontal="center"/>
    </xf>
    <xf numFmtId="171" fontId="28" fillId="0" borderId="0" xfId="0" applyNumberFormat="1" applyFont="1" applyFill="1" applyAlignment="1">
      <alignment horizontal="center"/>
    </xf>
    <xf numFmtId="171" fontId="0" fillId="0" borderId="0" xfId="0" applyNumberFormat="1" applyFont="1" applyFill="1" applyAlignment="1">
      <alignment horizontal="right" indent="1"/>
    </xf>
    <xf numFmtId="175" fontId="0" fillId="0" borderId="0" xfId="0" applyNumberFormat="1" applyFont="1" applyFill="1" applyAlignment="1">
      <alignment horizontal="right" indent="1"/>
    </xf>
    <xf numFmtId="0" fontId="0" fillId="4" borderId="26" xfId="0" applyFont="1" applyFill="1" applyBorder="1" applyAlignment="1">
      <alignment horizontal="center" vertical="center"/>
    </xf>
    <xf numFmtId="171" fontId="0" fillId="0" borderId="0" xfId="1" applyNumberFormat="1" applyFont="1" applyAlignment="1">
      <alignment horizontal="right" indent="2"/>
    </xf>
    <xf numFmtId="171" fontId="0" fillId="6" borderId="0" xfId="1" applyNumberFormat="1" applyFont="1" applyFill="1" applyAlignment="1">
      <alignment horizontal="right" indent="2"/>
    </xf>
    <xf numFmtId="0" fontId="2" fillId="0" borderId="0" xfId="0" applyFont="1" applyBorder="1" applyAlignment="1">
      <alignment horizontal="center" wrapText="1"/>
    </xf>
    <xf numFmtId="3" fontId="2" fillId="0" borderId="9" xfId="5" applyNumberFormat="1" applyFont="1" applyBorder="1" applyAlignment="1">
      <alignment horizontal="right" indent="1"/>
    </xf>
    <xf numFmtId="3" fontId="0" fillId="0" borderId="0" xfId="0" applyNumberFormat="1" applyFont="1"/>
    <xf numFmtId="176" fontId="0" fillId="0" borderId="38" xfId="0" applyNumberFormat="1" applyFont="1" applyBorder="1" applyAlignment="1">
      <alignment horizontal="right" indent="1"/>
    </xf>
    <xf numFmtId="176" fontId="0" fillId="6" borderId="22" xfId="0" applyNumberFormat="1" applyFont="1" applyFill="1" applyBorder="1" applyAlignment="1">
      <alignment horizontal="right" indent="1"/>
    </xf>
    <xf numFmtId="176" fontId="0" fillId="0" borderId="22" xfId="0" applyNumberFormat="1" applyFont="1" applyBorder="1" applyAlignment="1">
      <alignment horizontal="right" indent="1"/>
    </xf>
    <xf numFmtId="176" fontId="0" fillId="6" borderId="23" xfId="0" applyNumberFormat="1" applyFont="1" applyFill="1" applyBorder="1" applyAlignment="1">
      <alignment horizontal="right" indent="1"/>
    </xf>
    <xf numFmtId="9" fontId="0" fillId="6" borderId="0" xfId="1" applyFont="1" applyFill="1" applyBorder="1" applyAlignment="1">
      <alignment horizontal="right" indent="1"/>
    </xf>
    <xf numFmtId="9" fontId="0" fillId="6" borderId="28" xfId="1" applyFont="1" applyFill="1" applyBorder="1" applyAlignment="1">
      <alignment horizontal="right" indent="1"/>
    </xf>
    <xf numFmtId="177" fontId="0" fillId="0" borderId="0" xfId="6" applyNumberFormat="1" applyFont="1" applyBorder="1" applyAlignment="1">
      <alignment horizontal="right" indent="1"/>
    </xf>
    <xf numFmtId="0" fontId="30" fillId="0" borderId="0" xfId="0" applyFont="1" applyAlignment="1">
      <alignment wrapText="1"/>
    </xf>
    <xf numFmtId="0" fontId="0" fillId="0" borderId="0" xfId="0" applyAlignment="1">
      <alignment horizontal="left"/>
    </xf>
    <xf numFmtId="0" fontId="0" fillId="0" borderId="0" xfId="0" applyNumberFormat="1"/>
    <xf numFmtId="174" fontId="0" fillId="0" borderId="0" xfId="0" applyNumberFormat="1" applyFont="1"/>
    <xf numFmtId="0" fontId="2" fillId="4" borderId="6" xfId="0" applyFont="1" applyFill="1" applyBorder="1" applyAlignment="1">
      <alignment horizontal="center" vertical="center" wrapText="1"/>
    </xf>
    <xf numFmtId="0" fontId="2" fillId="0" borderId="0" xfId="0" applyFont="1" applyBorder="1" applyAlignment="1">
      <alignment horizontal="center" wrapText="1"/>
    </xf>
    <xf numFmtId="174" fontId="0" fillId="0" borderId="38" xfId="0" applyNumberFormat="1" applyFont="1" applyBorder="1" applyAlignment="1">
      <alignment horizontal="right" indent="1"/>
    </xf>
    <xf numFmtId="4" fontId="0" fillId="0" borderId="0" xfId="0" applyNumberFormat="1" applyFont="1" applyFill="1" applyAlignment="1">
      <alignment horizontal="right" indent="1"/>
    </xf>
    <xf numFmtId="4" fontId="0" fillId="6" borderId="0" xfId="0" applyNumberFormat="1" applyFont="1" applyFill="1" applyAlignment="1">
      <alignment horizontal="right" indent="1"/>
    </xf>
    <xf numFmtId="4" fontId="0" fillId="0" borderId="6" xfId="0" applyNumberFormat="1" applyFont="1" applyFill="1" applyBorder="1" applyAlignment="1">
      <alignment horizontal="right" indent="1"/>
    </xf>
    <xf numFmtId="175" fontId="0" fillId="0" borderId="0" xfId="0" applyNumberFormat="1" applyFont="1" applyFill="1" applyBorder="1" applyAlignment="1">
      <alignment horizontal="right" vertical="center" indent="1"/>
    </xf>
    <xf numFmtId="0" fontId="0" fillId="0" borderId="3" xfId="0" applyFont="1" applyFill="1" applyBorder="1" applyAlignment="1">
      <alignment horizontal="left" vertical="center" wrapText="1"/>
    </xf>
    <xf numFmtId="175" fontId="0" fillId="0" borderId="5" xfId="0" applyNumberFormat="1" applyFont="1" applyFill="1" applyBorder="1" applyAlignment="1">
      <alignment horizontal="right" vertical="center" indent="1"/>
    </xf>
    <xf numFmtId="0" fontId="0" fillId="6" borderId="12" xfId="0" applyFont="1" applyFill="1" applyBorder="1" applyAlignment="1">
      <alignment horizontal="left" vertical="center" wrapText="1"/>
    </xf>
    <xf numFmtId="175" fontId="0" fillId="6" borderId="0" xfId="0" applyNumberFormat="1" applyFont="1" applyFill="1" applyBorder="1" applyAlignment="1">
      <alignment horizontal="right" vertical="center" indent="1"/>
    </xf>
    <xf numFmtId="0" fontId="20"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2" fontId="0" fillId="4" borderId="25" xfId="0" applyNumberFormat="1" applyFont="1" applyFill="1" applyBorder="1" applyAlignment="1">
      <alignment horizontal="center" vertical="center"/>
    </xf>
    <xf numFmtId="2" fontId="0" fillId="6" borderId="12" xfId="0" applyNumberFormat="1" applyFont="1" applyFill="1" applyBorder="1" applyAlignment="1">
      <alignment horizontal="center" vertical="center"/>
    </xf>
    <xf numFmtId="2" fontId="2" fillId="4" borderId="13" xfId="0" applyNumberFormat="1" applyFont="1" applyFill="1" applyBorder="1" applyAlignment="1">
      <alignment horizontal="center" vertical="center"/>
    </xf>
    <xf numFmtId="164" fontId="0" fillId="0" borderId="16" xfId="0" applyNumberFormat="1" applyFont="1" applyBorder="1" applyAlignment="1">
      <alignment horizontal="center"/>
    </xf>
    <xf numFmtId="2" fontId="0" fillId="4" borderId="25" xfId="0" applyNumberFormat="1" applyFont="1" applyFill="1" applyBorder="1" applyAlignment="1">
      <alignment horizontal="center" vertical="center" wrapText="1"/>
    </xf>
    <xf numFmtId="165" fontId="0" fillId="4" borderId="12" xfId="0" applyNumberFormat="1" applyFont="1" applyFill="1" applyBorder="1" applyAlignment="1">
      <alignment horizontal="center" vertical="center" wrapText="1"/>
    </xf>
    <xf numFmtId="2" fontId="0" fillId="6" borderId="12" xfId="0" applyNumberFormat="1" applyFont="1" applyFill="1" applyBorder="1" applyAlignment="1">
      <alignment horizontal="center" vertical="center" wrapText="1"/>
    </xf>
    <xf numFmtId="2" fontId="0" fillId="4" borderId="12" xfId="0" applyNumberFormat="1" applyFont="1" applyFill="1" applyBorder="1" applyAlignment="1">
      <alignment horizontal="center" vertical="center" wrapText="1"/>
    </xf>
    <xf numFmtId="2" fontId="2" fillId="4" borderId="25" xfId="0" applyNumberFormat="1" applyFont="1" applyFill="1" applyBorder="1" applyAlignment="1">
      <alignment horizontal="center"/>
    </xf>
    <xf numFmtId="2" fontId="2" fillId="4" borderId="20" xfId="0" applyNumberFormat="1" applyFont="1" applyFill="1" applyBorder="1" applyAlignment="1">
      <alignment horizontal="center"/>
    </xf>
    <xf numFmtId="2" fontId="0" fillId="4" borderId="12" xfId="0" applyNumberFormat="1" applyFont="1" applyFill="1" applyBorder="1" applyAlignment="1">
      <alignment horizontal="center"/>
    </xf>
    <xf numFmtId="2" fontId="0" fillId="6" borderId="12" xfId="0" applyNumberFormat="1" applyFont="1" applyFill="1" applyBorder="1" applyAlignment="1">
      <alignment horizontal="center"/>
    </xf>
    <xf numFmtId="2" fontId="2" fillId="4" borderId="16" xfId="0" applyNumberFormat="1" applyFont="1" applyFill="1" applyBorder="1" applyAlignment="1">
      <alignment horizontal="center"/>
    </xf>
    <xf numFmtId="9" fontId="0" fillId="0" borderId="16" xfId="0" applyNumberFormat="1" applyFont="1" applyBorder="1" applyAlignment="1">
      <alignment horizontal="right" indent="1"/>
    </xf>
    <xf numFmtId="9" fontId="0" fillId="0" borderId="12" xfId="0" applyNumberFormat="1" applyFont="1" applyBorder="1" applyAlignment="1">
      <alignment horizontal="right" indent="1"/>
    </xf>
    <xf numFmtId="0" fontId="2" fillId="4" borderId="39" xfId="0" applyFont="1" applyFill="1" applyBorder="1" applyAlignment="1">
      <alignment horizontal="center" vertical="center"/>
    </xf>
    <xf numFmtId="176" fontId="0" fillId="0" borderId="12" xfId="0" applyNumberFormat="1" applyFont="1" applyFill="1" applyBorder="1" applyAlignment="1">
      <alignment horizontal="right" vertical="center" indent="1"/>
    </xf>
    <xf numFmtId="176" fontId="0" fillId="6" borderId="12" xfId="0" applyNumberFormat="1" applyFont="1" applyFill="1" applyBorder="1" applyAlignment="1">
      <alignment horizontal="right" vertical="center" indent="1"/>
    </xf>
    <xf numFmtId="176" fontId="2" fillId="4" borderId="16" xfId="0" applyNumberFormat="1" applyFont="1" applyFill="1" applyBorder="1" applyAlignment="1">
      <alignment horizontal="right" vertical="center" indent="1"/>
    </xf>
    <xf numFmtId="9" fontId="0" fillId="0" borderId="12" xfId="1" applyFont="1" applyBorder="1" applyAlignment="1">
      <alignment horizontal="right" indent="1"/>
    </xf>
    <xf numFmtId="3" fontId="0" fillId="6" borderId="12" xfId="0" applyNumberFormat="1" applyFont="1" applyFill="1" applyBorder="1" applyAlignment="1">
      <alignment horizontal="right" vertical="center" indent="1"/>
    </xf>
    <xf numFmtId="3" fontId="0" fillId="0" borderId="12" xfId="0" applyNumberFormat="1" applyFont="1" applyFill="1" applyBorder="1" applyAlignment="1">
      <alignment horizontal="right" vertical="center" indent="1"/>
    </xf>
    <xf numFmtId="168" fontId="0" fillId="0" borderId="12" xfId="0" applyNumberFormat="1" applyFont="1" applyFill="1" applyBorder="1" applyAlignment="1">
      <alignment horizontal="right" vertical="center" indent="1"/>
    </xf>
    <xf numFmtId="176" fontId="2" fillId="0" borderId="16" xfId="5" applyNumberFormat="1" applyFont="1" applyBorder="1" applyAlignment="1">
      <alignment horizontal="right" indent="1"/>
    </xf>
    <xf numFmtId="9" fontId="0" fillId="6" borderId="12" xfId="1" applyFont="1" applyFill="1" applyBorder="1" applyAlignment="1">
      <alignment horizontal="right" indent="1"/>
    </xf>
    <xf numFmtId="3" fontId="2" fillId="0" borderId="16" xfId="5" applyNumberFormat="1" applyFont="1" applyBorder="1" applyAlignment="1">
      <alignment horizontal="right" indent="1"/>
    </xf>
    <xf numFmtId="176" fontId="0" fillId="0" borderId="12" xfId="0" applyNumberFormat="1" applyFont="1" applyBorder="1" applyAlignment="1">
      <alignment horizontal="right" vertical="center" indent="1"/>
    </xf>
    <xf numFmtId="176" fontId="2" fillId="0" borderId="16" xfId="0" applyNumberFormat="1" applyFont="1" applyFill="1" applyBorder="1" applyAlignment="1">
      <alignment horizontal="right" vertical="center" indent="1"/>
    </xf>
    <xf numFmtId="0" fontId="2" fillId="4" borderId="40" xfId="0" applyFont="1" applyFill="1" applyBorder="1" applyAlignment="1">
      <alignment horizontal="center" vertical="center"/>
    </xf>
    <xf numFmtId="176" fontId="0" fillId="0" borderId="2" xfId="0" applyNumberFormat="1" applyFont="1" applyFill="1" applyBorder="1" applyAlignment="1">
      <alignment horizontal="right" vertical="center" indent="1"/>
    </xf>
    <xf numFmtId="176" fontId="0" fillId="6" borderId="2" xfId="0" applyNumberFormat="1" applyFont="1" applyFill="1" applyBorder="1" applyAlignment="1">
      <alignment horizontal="right" vertical="center" indent="1"/>
    </xf>
    <xf numFmtId="176" fontId="2" fillId="4" borderId="17" xfId="0" applyNumberFormat="1" applyFont="1" applyFill="1" applyBorder="1" applyAlignment="1">
      <alignment horizontal="right" vertical="center" indent="1"/>
    </xf>
    <xf numFmtId="0" fontId="0" fillId="0" borderId="2" xfId="0" applyFont="1" applyBorder="1"/>
    <xf numFmtId="0" fontId="0" fillId="6" borderId="2" xfId="0" applyFont="1" applyFill="1" applyBorder="1"/>
    <xf numFmtId="0" fontId="2" fillId="0" borderId="17" xfId="0" applyFont="1" applyBorder="1"/>
    <xf numFmtId="2" fontId="0" fillId="6" borderId="2" xfId="0" applyNumberFormat="1" applyFont="1" applyFill="1" applyBorder="1" applyAlignment="1">
      <alignment horizontal="right" indent="1"/>
    </xf>
    <xf numFmtId="3" fontId="2" fillId="4" borderId="17" xfId="0" applyNumberFormat="1" applyFont="1" applyFill="1" applyBorder="1" applyAlignment="1">
      <alignment horizontal="right" vertical="center" indent="1"/>
    </xf>
    <xf numFmtId="176" fontId="0" fillId="0" borderId="34" xfId="0" applyNumberFormat="1" applyFont="1" applyFill="1" applyBorder="1" applyAlignment="1">
      <alignment horizontal="right" vertical="center" indent="1"/>
    </xf>
    <xf numFmtId="176" fontId="2" fillId="0" borderId="17" xfId="0" applyNumberFormat="1" applyFont="1" applyFill="1" applyBorder="1" applyAlignment="1">
      <alignment horizontal="right" vertical="center" indent="1"/>
    </xf>
    <xf numFmtId="6" fontId="0" fillId="0" borderId="0" xfId="0" applyNumberFormat="1" applyFont="1" applyBorder="1"/>
    <xf numFmtId="0" fontId="2" fillId="0" borderId="24" xfId="0" applyFont="1" applyBorder="1" applyAlignment="1">
      <alignment horizontal="center"/>
    </xf>
    <xf numFmtId="0" fontId="0" fillId="0" borderId="9" xfId="0" applyNumberFormat="1" applyFont="1" applyBorder="1" applyAlignment="1">
      <alignment horizontal="right" indent="1"/>
    </xf>
    <xf numFmtId="0" fontId="0" fillId="0" borderId="20" xfId="0" applyFont="1" applyBorder="1"/>
    <xf numFmtId="9" fontId="0" fillId="0" borderId="18" xfId="1" applyFont="1" applyBorder="1" applyAlignment="1">
      <alignment horizontal="right" indent="2"/>
    </xf>
    <xf numFmtId="3" fontId="0" fillId="0" borderId="20" xfId="0" applyNumberFormat="1" applyFont="1" applyBorder="1" applyAlignment="1">
      <alignment horizontal="right" indent="2"/>
    </xf>
    <xf numFmtId="176" fontId="0" fillId="0" borderId="18" xfId="0" applyNumberFormat="1" applyFont="1" applyBorder="1" applyAlignment="1">
      <alignment horizontal="right" indent="2"/>
    </xf>
    <xf numFmtId="176" fontId="0" fillId="0" borderId="20" xfId="0" applyNumberFormat="1" applyFont="1" applyBorder="1" applyAlignment="1">
      <alignment horizontal="right" indent="1"/>
    </xf>
    <xf numFmtId="176" fontId="0" fillId="0" borderId="18" xfId="0" applyNumberFormat="1" applyFont="1" applyBorder="1" applyAlignment="1">
      <alignment horizontal="right" indent="1"/>
    </xf>
    <xf numFmtId="3" fontId="0" fillId="0" borderId="3" xfId="0" applyNumberFormat="1" applyFont="1" applyBorder="1" applyAlignment="1">
      <alignment horizontal="right" indent="2"/>
    </xf>
    <xf numFmtId="176" fontId="0" fillId="0" borderId="5" xfId="0" applyNumberFormat="1" applyFont="1" applyBorder="1" applyAlignment="1">
      <alignment horizontal="right" indent="2"/>
    </xf>
    <xf numFmtId="176" fontId="0" fillId="0" borderId="3" xfId="0" applyNumberFormat="1" applyFont="1" applyBorder="1" applyAlignment="1">
      <alignment horizontal="right" indent="1"/>
    </xf>
    <xf numFmtId="176" fontId="0" fillId="0" borderId="5" xfId="0" applyNumberFormat="1" applyFont="1" applyBorder="1" applyAlignment="1">
      <alignment horizontal="right" indent="1"/>
    </xf>
    <xf numFmtId="0" fontId="0" fillId="0" borderId="16" xfId="0" applyFont="1" applyFill="1" applyBorder="1"/>
    <xf numFmtId="3" fontId="0" fillId="0" borderId="37" xfId="0" applyNumberFormat="1" applyFont="1" applyFill="1" applyBorder="1" applyAlignment="1">
      <alignment horizontal="right" indent="1"/>
    </xf>
    <xf numFmtId="4" fontId="0" fillId="0" borderId="12" xfId="0" applyNumberFormat="1" applyFont="1" applyFill="1" applyBorder="1" applyAlignment="1">
      <alignment horizontal="right" indent="1"/>
    </xf>
    <xf numFmtId="4" fontId="0" fillId="6" borderId="12" xfId="0" applyNumberFormat="1" applyFont="1" applyFill="1" applyBorder="1" applyAlignment="1">
      <alignment horizontal="right" indent="1"/>
    </xf>
    <xf numFmtId="4" fontId="0" fillId="0" borderId="13" xfId="0" applyNumberFormat="1" applyFont="1" applyFill="1" applyBorder="1" applyAlignment="1">
      <alignment horizontal="right" indent="1"/>
    </xf>
    <xf numFmtId="169" fontId="0" fillId="0" borderId="12" xfId="0" applyNumberFormat="1" applyFont="1" applyBorder="1" applyAlignment="1">
      <alignment horizontal="right" indent="1"/>
    </xf>
    <xf numFmtId="169" fontId="0" fillId="6" borderId="12" xfId="0" applyNumberFormat="1" applyFont="1" applyFill="1" applyBorder="1" applyAlignment="1">
      <alignment horizontal="right" indent="1"/>
    </xf>
    <xf numFmtId="169" fontId="0" fillId="0" borderId="3" xfId="0" applyNumberFormat="1" applyFont="1" applyBorder="1" applyAlignment="1">
      <alignment horizontal="right" indent="1"/>
    </xf>
    <xf numFmtId="177" fontId="0" fillId="0" borderId="12" xfId="6" applyNumberFormat="1" applyFont="1" applyBorder="1" applyAlignment="1">
      <alignment horizontal="right" indent="1"/>
    </xf>
    <xf numFmtId="1" fontId="0" fillId="0" borderId="12" xfId="0" applyNumberFormat="1" applyFont="1" applyBorder="1" applyAlignment="1">
      <alignment horizontal="right" indent="1"/>
    </xf>
    <xf numFmtId="169" fontId="0" fillId="0" borderId="16" xfId="0" applyNumberFormat="1" applyFont="1" applyBorder="1" applyAlignment="1">
      <alignment horizontal="right" indent="1"/>
    </xf>
    <xf numFmtId="172" fontId="0" fillId="0" borderId="5" xfId="0" applyNumberFormat="1" applyFont="1" applyBorder="1" applyAlignment="1">
      <alignment horizontal="right" indent="1"/>
    </xf>
    <xf numFmtId="168" fontId="0" fillId="0" borderId="17" xfId="0" applyNumberFormat="1" applyFont="1" applyFill="1" applyBorder="1" applyAlignment="1">
      <alignment horizontal="right" indent="4"/>
    </xf>
    <xf numFmtId="3" fontId="2" fillId="0" borderId="37" xfId="0" applyNumberFormat="1" applyFont="1" applyFill="1" applyBorder="1" applyAlignment="1">
      <alignment horizontal="right" indent="1"/>
    </xf>
    <xf numFmtId="168" fontId="0" fillId="6" borderId="0" xfId="0" applyNumberFormat="1" applyFont="1" applyFill="1" applyBorder="1" applyAlignment="1">
      <alignment horizontal="right" indent="3"/>
    </xf>
    <xf numFmtId="168" fontId="0" fillId="6" borderId="22" xfId="0" applyNumberFormat="1" applyFont="1" applyFill="1" applyBorder="1" applyAlignment="1">
      <alignment horizontal="right" indent="3"/>
    </xf>
    <xf numFmtId="164" fontId="0" fillId="6" borderId="0" xfId="0" applyNumberFormat="1" applyFont="1" applyFill="1" applyBorder="1" applyAlignment="1">
      <alignment horizontal="right" vertical="center" wrapText="1" indent="3"/>
    </xf>
    <xf numFmtId="168" fontId="0" fillId="0" borderId="0" xfId="0" applyNumberFormat="1" applyFont="1" applyFill="1" applyBorder="1" applyAlignment="1">
      <alignment horizontal="right" indent="3"/>
    </xf>
    <xf numFmtId="168" fontId="0" fillId="0" borderId="22" xfId="0" applyNumberFormat="1" applyFont="1" applyFill="1" applyBorder="1" applyAlignment="1">
      <alignment horizontal="right" indent="3"/>
    </xf>
    <xf numFmtId="164" fontId="0" fillId="0" borderId="0" xfId="0" applyNumberFormat="1" applyFont="1" applyFill="1" applyBorder="1" applyAlignment="1">
      <alignment horizontal="right" vertical="center" wrapText="1" indent="3"/>
    </xf>
    <xf numFmtId="168" fontId="0" fillId="0" borderId="9" xfId="0" applyNumberFormat="1" applyFont="1" applyFill="1" applyBorder="1" applyAlignment="1">
      <alignment horizontal="right" indent="3"/>
    </xf>
    <xf numFmtId="168" fontId="0" fillId="0" borderId="37" xfId="0" applyNumberFormat="1" applyFont="1" applyFill="1" applyBorder="1" applyAlignment="1">
      <alignment horizontal="right" indent="3"/>
    </xf>
    <xf numFmtId="164" fontId="0" fillId="0" borderId="9" xfId="0" applyNumberFormat="1" applyFont="1" applyFill="1" applyBorder="1" applyAlignment="1">
      <alignment horizontal="right" vertical="center" wrapText="1" indent="3"/>
    </xf>
    <xf numFmtId="0" fontId="20" fillId="0" borderId="6" xfId="0" applyFont="1" applyFill="1" applyBorder="1" applyAlignment="1">
      <alignment horizontal="center" wrapText="1"/>
    </xf>
    <xf numFmtId="0" fontId="2" fillId="0" borderId="13" xfId="0" applyFont="1" applyFill="1" applyBorder="1" applyAlignment="1">
      <alignment horizontal="center"/>
    </xf>
    <xf numFmtId="175" fontId="0" fillId="0" borderId="12" xfId="0" applyNumberFormat="1" applyFont="1" applyFill="1" applyBorder="1" applyAlignment="1">
      <alignment horizontal="right" indent="1"/>
    </xf>
    <xf numFmtId="168" fontId="0" fillId="0" borderId="20" xfId="0" applyNumberFormat="1" applyFont="1" applyBorder="1" applyAlignment="1">
      <alignment horizontal="right" indent="1"/>
    </xf>
    <xf numFmtId="0" fontId="2" fillId="0" borderId="39" xfId="0" applyFont="1" applyFill="1" applyBorder="1" applyAlignment="1">
      <alignment horizontal="center"/>
    </xf>
    <xf numFmtId="175" fontId="0" fillId="0" borderId="3" xfId="0" applyNumberFormat="1" applyFont="1" applyFill="1" applyBorder="1" applyAlignment="1">
      <alignment horizontal="right" vertical="center" indent="1"/>
    </xf>
    <xf numFmtId="175" fontId="0" fillId="0" borderId="12" xfId="0" applyNumberFormat="1" applyFont="1" applyFill="1" applyBorder="1" applyAlignment="1">
      <alignment horizontal="right" vertical="center" indent="1"/>
    </xf>
    <xf numFmtId="175" fontId="0" fillId="6" borderId="12" xfId="0" applyNumberFormat="1" applyFont="1" applyFill="1" applyBorder="1" applyAlignment="1">
      <alignment horizontal="right" vertical="center" indent="1"/>
    </xf>
    <xf numFmtId="0" fontId="2" fillId="0" borderId="40" xfId="0" applyFont="1" applyFill="1" applyBorder="1" applyAlignment="1">
      <alignment horizontal="center"/>
    </xf>
    <xf numFmtId="175" fontId="0" fillId="0" borderId="1" xfId="0" applyNumberFormat="1" applyFont="1" applyFill="1" applyBorder="1" applyAlignment="1">
      <alignment horizontal="right" vertical="center" indent="1"/>
    </xf>
    <xf numFmtId="175" fontId="0" fillId="0" borderId="2" xfId="0" applyNumberFormat="1" applyFont="1" applyFill="1" applyBorder="1" applyAlignment="1">
      <alignment horizontal="right" vertical="center" indent="1"/>
    </xf>
    <xf numFmtId="175" fontId="0" fillId="6" borderId="2" xfId="0" applyNumberFormat="1" applyFont="1" applyFill="1" applyBorder="1" applyAlignment="1">
      <alignment horizontal="right" vertical="center" indent="1"/>
    </xf>
    <xf numFmtId="4" fontId="0" fillId="0" borderId="22" xfId="0" applyNumberFormat="1" applyFont="1" applyFill="1" applyBorder="1" applyAlignment="1">
      <alignment horizontal="right" indent="1"/>
    </xf>
    <xf numFmtId="4" fontId="0" fillId="6" borderId="22" xfId="0" applyNumberFormat="1" applyFont="1" applyFill="1" applyBorder="1" applyAlignment="1">
      <alignment horizontal="right" indent="1"/>
    </xf>
    <xf numFmtId="4" fontId="0" fillId="0" borderId="24" xfId="0" applyNumberFormat="1" applyFont="1" applyFill="1" applyBorder="1" applyAlignment="1">
      <alignment horizontal="right" indent="1"/>
    </xf>
    <xf numFmtId="0" fontId="0" fillId="0" borderId="0" xfId="0" applyAlignment="1">
      <alignment horizontal="left" indent="1"/>
    </xf>
    <xf numFmtId="175" fontId="0" fillId="0" borderId="2" xfId="0" applyNumberFormat="1" applyFont="1" applyFill="1" applyBorder="1" applyAlignment="1">
      <alignment horizontal="right" indent="1"/>
    </xf>
    <xf numFmtId="168" fontId="0" fillId="0" borderId="28" xfId="0" applyNumberFormat="1" applyFont="1" applyBorder="1" applyAlignment="1">
      <alignment horizontal="right" indent="1"/>
    </xf>
    <xf numFmtId="3" fontId="0" fillId="0" borderId="12" xfId="0" applyNumberFormat="1" applyFont="1" applyFill="1" applyBorder="1" applyAlignment="1">
      <alignment horizontal="left" vertical="center" wrapText="1" indent="1"/>
    </xf>
    <xf numFmtId="9" fontId="0" fillId="0" borderId="0" xfId="1" applyFont="1" applyBorder="1"/>
    <xf numFmtId="0" fontId="0" fillId="6" borderId="3" xfId="0" applyFont="1" applyFill="1" applyBorder="1"/>
    <xf numFmtId="3" fontId="0" fillId="6" borderId="5" xfId="0" applyNumberFormat="1" applyFont="1" applyFill="1" applyBorder="1" applyAlignment="1">
      <alignment horizontal="right" indent="1"/>
    </xf>
    <xf numFmtId="3" fontId="0" fillId="6" borderId="12" xfId="0" applyNumberFormat="1" applyFont="1" applyFill="1" applyBorder="1" applyAlignment="1">
      <alignment horizontal="left" vertical="center" wrapText="1"/>
    </xf>
    <xf numFmtId="175" fontId="0" fillId="6" borderId="2" xfId="0" applyNumberFormat="1" applyFont="1" applyFill="1" applyBorder="1" applyAlignment="1">
      <alignment horizontal="right" indent="1"/>
    </xf>
    <xf numFmtId="175" fontId="0" fillId="6" borderId="0" xfId="0" applyNumberFormat="1" applyFont="1" applyFill="1" applyAlignment="1">
      <alignment horizontal="right" indent="1"/>
    </xf>
    <xf numFmtId="175" fontId="0" fillId="6" borderId="12" xfId="0" applyNumberFormat="1" applyFont="1" applyFill="1" applyBorder="1" applyAlignment="1">
      <alignment horizontal="right" indent="1"/>
    </xf>
    <xf numFmtId="0" fontId="0" fillId="0" borderId="46" xfId="0" applyFont="1" applyFill="1" applyBorder="1" applyAlignment="1">
      <alignment horizontal="left" vertical="center"/>
    </xf>
    <xf numFmtId="175" fontId="0" fillId="0" borderId="47" xfId="0" applyNumberFormat="1" applyFont="1" applyFill="1" applyBorder="1" applyAlignment="1">
      <alignment horizontal="right" indent="1"/>
    </xf>
    <xf numFmtId="175" fontId="0" fillId="0" borderId="45" xfId="0" applyNumberFormat="1" applyFont="1" applyFill="1" applyBorder="1" applyAlignment="1">
      <alignment horizontal="right" indent="1"/>
    </xf>
    <xf numFmtId="175" fontId="0" fillId="0" borderId="46" xfId="0" applyNumberFormat="1" applyFont="1" applyFill="1" applyBorder="1" applyAlignment="1">
      <alignment horizontal="right" indent="1"/>
    </xf>
    <xf numFmtId="168" fontId="0" fillId="0" borderId="0" xfId="0" applyNumberFormat="1" applyFont="1" applyAlignment="1">
      <alignment horizontal="right" indent="1"/>
    </xf>
    <xf numFmtId="0" fontId="2" fillId="0" borderId="9" xfId="0" applyFont="1" applyBorder="1" applyAlignment="1">
      <alignment horizontal="left"/>
    </xf>
    <xf numFmtId="9" fontId="0" fillId="0" borderId="9" xfId="1" applyFont="1" applyBorder="1" applyAlignment="1">
      <alignment horizontal="center"/>
    </xf>
    <xf numFmtId="9" fontId="0" fillId="0" borderId="16" xfId="1" applyFont="1" applyBorder="1" applyAlignment="1">
      <alignment horizontal="center"/>
    </xf>
    <xf numFmtId="0" fontId="0" fillId="0" borderId="20" xfId="0" applyFont="1" applyFill="1" applyBorder="1" applyAlignment="1">
      <alignment horizontal="left" vertical="center" wrapText="1"/>
    </xf>
    <xf numFmtId="175" fontId="0" fillId="0" borderId="28" xfId="0" applyNumberFormat="1" applyFont="1" applyFill="1" applyBorder="1" applyAlignment="1">
      <alignment horizontal="right" vertical="center" indent="1"/>
    </xf>
    <xf numFmtId="175" fontId="0" fillId="0" borderId="18" xfId="0" applyNumberFormat="1" applyFont="1" applyFill="1" applyBorder="1" applyAlignment="1">
      <alignment horizontal="right" vertical="center" indent="1"/>
    </xf>
    <xf numFmtId="175" fontId="0" fillId="0" borderId="20" xfId="0" applyNumberFormat="1" applyFont="1" applyFill="1" applyBorder="1" applyAlignment="1">
      <alignment horizontal="right" vertical="center" indent="1"/>
    </xf>
    <xf numFmtId="0" fontId="0" fillId="6" borderId="0" xfId="0" applyFont="1" applyFill="1" applyBorder="1"/>
    <xf numFmtId="0" fontId="0" fillId="4" borderId="12" xfId="0" applyFont="1" applyFill="1" applyBorder="1"/>
    <xf numFmtId="9" fontId="0" fillId="0" borderId="6" xfId="1" applyFont="1" applyFill="1" applyBorder="1" applyAlignment="1">
      <alignment horizontal="right" indent="1"/>
    </xf>
    <xf numFmtId="0" fontId="0" fillId="0" borderId="6" xfId="0" applyFont="1" applyFill="1" applyBorder="1"/>
    <xf numFmtId="9" fontId="0" fillId="0" borderId="13" xfId="1" applyFont="1" applyFill="1" applyBorder="1" applyAlignment="1">
      <alignment horizontal="right" indent="1"/>
    </xf>
    <xf numFmtId="9" fontId="3" fillId="4" borderId="0" xfId="1" applyFont="1" applyFill="1" applyBorder="1" applyAlignment="1">
      <alignment horizont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8" fillId="0" borderId="0" xfId="0" applyFont="1" applyAlignment="1">
      <alignment horizontal="center"/>
    </xf>
    <xf numFmtId="0" fontId="10" fillId="0" borderId="18" xfId="0" applyFont="1" applyBorder="1" applyAlignment="1">
      <alignment horizontal="center"/>
    </xf>
    <xf numFmtId="0" fontId="2" fillId="0" borderId="18" xfId="0" applyFont="1" applyBorder="1" applyAlignment="1">
      <alignment horizontal="center"/>
    </xf>
    <xf numFmtId="0" fontId="2" fillId="0" borderId="26" xfId="0" applyFont="1" applyFill="1" applyBorder="1" applyAlignment="1">
      <alignment horizontal="center"/>
    </xf>
    <xf numFmtId="0" fontId="2" fillId="0" borderId="8" xfId="0" applyFont="1" applyFill="1" applyBorder="1" applyAlignment="1">
      <alignment horizontal="center"/>
    </xf>
    <xf numFmtId="0" fontId="0" fillId="4" borderId="7" xfId="0" applyFont="1" applyFill="1" applyBorder="1" applyAlignment="1">
      <alignment horizontal="left" wrapText="1"/>
    </xf>
    <xf numFmtId="0" fontId="0" fillId="4" borderId="25" xfId="0" applyFont="1" applyFill="1" applyBorder="1" applyAlignment="1">
      <alignment horizontal="left" wrapText="1"/>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5"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wrapText="1"/>
    </xf>
    <xf numFmtId="0" fontId="2" fillId="0" borderId="15" xfId="0" applyFont="1" applyBorder="1" applyAlignment="1">
      <alignment horizontal="center" wrapText="1"/>
    </xf>
    <xf numFmtId="0" fontId="27" fillId="0" borderId="21" xfId="0" applyFont="1" applyBorder="1" applyAlignment="1">
      <alignment horizontal="center" wrapText="1"/>
    </xf>
    <xf numFmtId="0" fontId="27" fillId="0" borderId="22" xfId="0" applyFont="1" applyBorder="1" applyAlignment="1">
      <alignment horizontal="center" wrapText="1"/>
    </xf>
    <xf numFmtId="0" fontId="27" fillId="0" borderId="24" xfId="0" applyFont="1" applyBorder="1" applyAlignment="1">
      <alignment horizontal="center" wrapText="1"/>
    </xf>
    <xf numFmtId="0" fontId="2" fillId="0" borderId="41" xfId="0" applyFont="1" applyBorder="1" applyAlignment="1">
      <alignment horizontal="center" wrapText="1"/>
    </xf>
    <xf numFmtId="0" fontId="29" fillId="0" borderId="27" xfId="0" applyFont="1" applyBorder="1" applyAlignment="1">
      <alignment horizontal="center" wrapText="1"/>
    </xf>
    <xf numFmtId="0" fontId="29" fillId="0" borderId="2" xfId="0" applyFont="1" applyBorder="1" applyAlignment="1">
      <alignment horizontal="center" wrapText="1"/>
    </xf>
    <xf numFmtId="0" fontId="29" fillId="0" borderId="15" xfId="0" applyFont="1" applyBorder="1" applyAlignment="1">
      <alignment horizontal="center" wrapText="1"/>
    </xf>
    <xf numFmtId="0" fontId="10" fillId="0" borderId="29" xfId="0" applyFont="1" applyBorder="1" applyAlignment="1">
      <alignment horizontal="center"/>
    </xf>
    <xf numFmtId="0" fontId="10" fillId="0" borderId="30" xfId="0" applyFont="1" applyBorder="1" applyAlignment="1">
      <alignment horizontal="center"/>
    </xf>
    <xf numFmtId="0" fontId="10" fillId="0" borderId="31" xfId="0" applyFont="1" applyBorder="1" applyAlignment="1">
      <alignment horizontal="center"/>
    </xf>
    <xf numFmtId="0" fontId="2" fillId="0" borderId="42" xfId="0" applyFont="1" applyBorder="1" applyAlignment="1">
      <alignment horizontal="center"/>
    </xf>
    <xf numFmtId="0" fontId="2" fillId="0" borderId="44" xfId="0" applyFont="1" applyBorder="1" applyAlignment="1">
      <alignment horizontal="center"/>
    </xf>
    <xf numFmtId="0" fontId="2" fillId="0" borderId="43" xfId="0" applyFont="1" applyBorder="1" applyAlignment="1">
      <alignment horizontal="center"/>
    </xf>
    <xf numFmtId="0" fontId="10" fillId="0" borderId="22" xfId="0" applyFont="1" applyBorder="1" applyAlignment="1">
      <alignment horizontal="center"/>
    </xf>
    <xf numFmtId="0" fontId="10" fillId="0" borderId="12"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35" xfId="0" applyFont="1" applyBorder="1" applyAlignment="1">
      <alignment horizontal="center"/>
    </xf>
    <xf numFmtId="0" fontId="2" fillId="0" borderId="33" xfId="0" applyFont="1" applyBorder="1" applyAlignment="1">
      <alignment horizontal="center"/>
    </xf>
    <xf numFmtId="0" fontId="2" fillId="0" borderId="36" xfId="0" applyFont="1" applyBorder="1" applyAlignment="1">
      <alignment horizontal="center"/>
    </xf>
    <xf numFmtId="0" fontId="2" fillId="4" borderId="19" xfId="0" applyFont="1" applyFill="1" applyBorder="1" applyAlignment="1">
      <alignment horizontal="center" vertical="center" wrapText="1"/>
    </xf>
    <xf numFmtId="0" fontId="2" fillId="4" borderId="6" xfId="0" applyFont="1" applyFill="1" applyBorder="1" applyAlignment="1">
      <alignment horizontal="center" vertical="center" wrapText="1"/>
    </xf>
    <xf numFmtId="1" fontId="2" fillId="0" borderId="29" xfId="0" applyNumberFormat="1" applyFont="1" applyFill="1" applyBorder="1" applyAlignment="1">
      <alignment horizontal="center"/>
    </xf>
    <xf numFmtId="1" fontId="2" fillId="0" borderId="30" xfId="0" applyNumberFormat="1" applyFont="1" applyFill="1" applyBorder="1" applyAlignment="1">
      <alignment horizontal="center"/>
    </xf>
    <xf numFmtId="1" fontId="2" fillId="0" borderId="31" xfId="0" applyNumberFormat="1" applyFont="1" applyFill="1" applyBorder="1" applyAlignment="1">
      <alignment horizontal="center"/>
    </xf>
    <xf numFmtId="0" fontId="0" fillId="0" borderId="10" xfId="0" applyFont="1" applyFill="1" applyBorder="1" applyAlignment="1">
      <alignment horizontal="left" wrapText="1"/>
    </xf>
    <xf numFmtId="0" fontId="0" fillId="0" borderId="13" xfId="0" applyFont="1" applyFill="1" applyBorder="1" applyAlignment="1">
      <alignment horizontal="left" wrapText="1"/>
    </xf>
    <xf numFmtId="0" fontId="2" fillId="0" borderId="0" xfId="0" applyFont="1" applyBorder="1" applyAlignment="1">
      <alignment horizontal="center" wrapText="1"/>
    </xf>
    <xf numFmtId="0" fontId="2" fillId="0" borderId="12" xfId="0" applyFont="1" applyBorder="1" applyAlignment="1">
      <alignment horizontal="center" wrapText="1"/>
    </xf>
    <xf numFmtId="0" fontId="2" fillId="0" borderId="19" xfId="0" applyFont="1" applyBorder="1" applyAlignment="1">
      <alignment horizontal="center" wrapText="1"/>
    </xf>
    <xf numFmtId="0" fontId="2" fillId="0" borderId="10" xfId="0" applyFont="1" applyBorder="1" applyAlignment="1">
      <alignment horizontal="center" wrapText="1"/>
    </xf>
    <xf numFmtId="0" fontId="2" fillId="0" borderId="0" xfId="0" applyFont="1" applyAlignment="1">
      <alignment horizontal="center"/>
    </xf>
    <xf numFmtId="1" fontId="2" fillId="0" borderId="0" xfId="0" applyNumberFormat="1" applyFont="1" applyAlignment="1">
      <alignment horizontal="center"/>
    </xf>
    <xf numFmtId="0" fontId="2" fillId="0" borderId="0" xfId="0" applyFont="1" applyFill="1" applyBorder="1" applyAlignment="1">
      <alignment horizontal="center" wrapText="1"/>
    </xf>
    <xf numFmtId="0" fontId="0" fillId="0" borderId="0" xfId="0" applyAlignment="1">
      <alignment wrapText="1"/>
    </xf>
    <xf numFmtId="0" fontId="14" fillId="0" borderId="0" xfId="3" applyAlignment="1">
      <alignment wrapText="1"/>
    </xf>
    <xf numFmtId="0" fontId="2" fillId="0" borderId="0" xfId="0" applyFont="1" applyAlignment="1">
      <alignment horizontal="center" vertical="center" wrapText="1"/>
    </xf>
    <xf numFmtId="0" fontId="2" fillId="0" borderId="0" xfId="0" applyFont="1" applyAlignment="1">
      <alignment wrapText="1"/>
    </xf>
  </cellXfs>
  <cellStyles count="7">
    <cellStyle name="Comma" xfId="6" builtinId="3"/>
    <cellStyle name="Currency" xfId="5" builtinId="4"/>
    <cellStyle name="Hyperlink" xfId="3" builtinId="8"/>
    <cellStyle name="Normal" xfId="0" builtinId="0"/>
    <cellStyle name="Normal 2" xfId="2"/>
    <cellStyle name="Normal 3" xfId="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image" Target="../media/image1.gif"/></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image" Target="../media/image1.gif"/></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image" Target="../media/image1.gif"/></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image" Target="../media/image1.gif"/></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image" Target="../media/image1.gif"/></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image" Target="../media/image1.gif"/></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Sensitivity</a:t>
            </a:r>
            <a:r>
              <a:rPr lang="en-US" sz="1400" baseline="0"/>
              <a:t> analysis of preferred management option </a:t>
            </a:r>
            <a:br>
              <a:rPr lang="en-US" sz="1400" baseline="0"/>
            </a:br>
            <a:r>
              <a:rPr lang="en-US" sz="1200" baseline="0"/>
              <a:t>Present value of net benefits (B-C) over a ten-year period</a:t>
            </a:r>
            <a:endParaRPr lang="en-US" sz="1400"/>
          </a:p>
        </c:rich>
      </c:tx>
      <c:layout>
        <c:manualLayout>
          <c:xMode val="edge"/>
          <c:yMode val="edge"/>
          <c:x val="0.21650740111899905"/>
          <c:y val="9.6385542168674707E-3"/>
        </c:manualLayout>
      </c:layout>
      <c:overlay val="0"/>
    </c:title>
    <c:autoTitleDeleted val="0"/>
    <c:plotArea>
      <c:layout>
        <c:manualLayout>
          <c:layoutTarget val="inner"/>
          <c:xMode val="edge"/>
          <c:yMode val="edge"/>
          <c:x val="7.1325962303492557E-2"/>
          <c:y val="0.15416171773709009"/>
          <c:w val="0.903122353608238"/>
          <c:h val="0.65806634411662401"/>
        </c:manualLayout>
      </c:layout>
      <c:barChart>
        <c:barDir val="col"/>
        <c:grouping val="clustered"/>
        <c:varyColors val="0"/>
        <c:ser>
          <c:idx val="0"/>
          <c:order val="0"/>
          <c:tx>
            <c:strRef>
              <c:f>'Sensitivity analysis'!$E$4</c:f>
              <c:strCache>
                <c:ptCount val="1"/>
                <c:pt idx="0">
                  <c:v>LOF 2 movement</c:v>
                </c:pt>
              </c:strCache>
            </c:strRef>
          </c:tx>
          <c:spPr>
            <a:solidFill>
              <a:schemeClr val="accent3">
                <a:lumMod val="40000"/>
                <a:lumOff val="60000"/>
              </a:schemeClr>
            </a:solidFill>
            <a:ln>
              <a:solidFill>
                <a:schemeClr val="tx1">
                  <a:lumMod val="50000"/>
                  <a:lumOff val="50000"/>
                </a:schemeClr>
              </a:solidFill>
            </a:ln>
          </c:spPr>
          <c:invertIfNegative val="0"/>
          <c:cat>
            <c:strRef>
              <c:f>'Sensitivity analysis'!$L$5:$L$9</c:f>
              <c:strCache>
                <c:ptCount val="5"/>
                <c:pt idx="0">
                  <c:v>Baseline</c:v>
                </c:pt>
                <c:pt idx="1">
                  <c:v>Private costs twice as high</c:v>
                </c:pt>
                <c:pt idx="2">
                  <c:v>Efficacy halved</c:v>
                </c:pt>
                <c:pt idx="3">
                  <c:v>Value of marine environment (benefit) halved </c:v>
                </c:pt>
                <c:pt idx="4">
                  <c:v>Risk of hull fouling being the vector for marine pests halved</c:v>
                </c:pt>
              </c:strCache>
            </c:strRef>
          </c:cat>
          <c:val>
            <c:numRef>
              <c:f>'Sensitivity analysis'!$E$5:$E$9</c:f>
              <c:numCache>
                <c:formatCode>"$"#,##0.0</c:formatCode>
                <c:ptCount val="5"/>
                <c:pt idx="0">
                  <c:v>56.094267564961314</c:v>
                </c:pt>
                <c:pt idx="1">
                  <c:v>47.086145688453541</c:v>
                </c:pt>
                <c:pt idx="2">
                  <c:v>29.959088343530532</c:v>
                </c:pt>
                <c:pt idx="3">
                  <c:v>21.111062298060837</c:v>
                </c:pt>
                <c:pt idx="4">
                  <c:v>12.93634570601532</c:v>
                </c:pt>
              </c:numCache>
            </c:numRef>
          </c:val>
          <c:extLst>
            <c:ext xmlns:c16="http://schemas.microsoft.com/office/drawing/2014/chart" uri="{C3380CC4-5D6E-409C-BE32-E72D297353CC}">
              <c16:uniqueId val="{00000008-1C8D-4C52-9E1D-2658FBA00C74}"/>
            </c:ext>
          </c:extLst>
        </c:ser>
        <c:dLbls>
          <c:showLegendKey val="0"/>
          <c:showVal val="0"/>
          <c:showCatName val="0"/>
          <c:showSerName val="0"/>
          <c:showPercent val="0"/>
          <c:showBubbleSize val="0"/>
        </c:dLbls>
        <c:gapWidth val="150"/>
        <c:axId val="132167936"/>
        <c:axId val="132182400"/>
      </c:barChart>
      <c:catAx>
        <c:axId val="132167936"/>
        <c:scaling>
          <c:orientation val="minMax"/>
        </c:scaling>
        <c:delete val="0"/>
        <c:axPos val="b"/>
        <c:numFmt formatCode="General" sourceLinked="0"/>
        <c:majorTickMark val="out"/>
        <c:minorTickMark val="none"/>
        <c:tickLblPos val="low"/>
        <c:txPr>
          <a:bodyPr/>
          <a:lstStyle/>
          <a:p>
            <a:pPr>
              <a:defRPr b="1"/>
            </a:pPr>
            <a:endParaRPr lang="en-US"/>
          </a:p>
        </c:txPr>
        <c:crossAx val="132182400"/>
        <c:crosses val="autoZero"/>
        <c:auto val="1"/>
        <c:lblAlgn val="ctr"/>
        <c:lblOffset val="100"/>
        <c:noMultiLvlLbl val="0"/>
      </c:catAx>
      <c:valAx>
        <c:axId val="132182400"/>
        <c:scaling>
          <c:orientation val="minMax"/>
          <c:min val="-20"/>
        </c:scaling>
        <c:delete val="0"/>
        <c:axPos val="l"/>
        <c:majorGridlines/>
        <c:title>
          <c:tx>
            <c:rich>
              <a:bodyPr rot="0" vert="horz"/>
              <a:lstStyle/>
              <a:p>
                <a:pPr>
                  <a:defRPr/>
                </a:pPr>
                <a:r>
                  <a:rPr lang="en-NZ"/>
                  <a:t>$Million</a:t>
                </a:r>
              </a:p>
            </c:rich>
          </c:tx>
          <c:layout>
            <c:manualLayout>
              <c:xMode val="edge"/>
              <c:yMode val="edge"/>
              <c:x val="3.8591413410516162E-3"/>
              <c:y val="7.3895582329317269E-2"/>
            </c:manualLayout>
          </c:layout>
          <c:overlay val="0"/>
        </c:title>
        <c:numFmt formatCode="&quot;$&quot;#,##0" sourceLinked="0"/>
        <c:majorTickMark val="out"/>
        <c:minorTickMark val="none"/>
        <c:tickLblPos val="nextTo"/>
        <c:txPr>
          <a:bodyPr/>
          <a:lstStyle/>
          <a:p>
            <a:pPr>
              <a:defRPr b="1"/>
            </a:pPr>
            <a:endParaRPr lang="en-US"/>
          </a:p>
        </c:txPr>
        <c:crossAx val="132167936"/>
        <c:crosses val="autoZero"/>
        <c:crossBetween val="between"/>
      </c:valAx>
      <c:spPr>
        <a:ln>
          <a:solidFill>
            <a:schemeClr val="tx1">
              <a:lumMod val="50000"/>
              <a:lumOff val="50000"/>
            </a:schemeClr>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400"/>
              <a:t>Comparison of benefits and costs for Marine Pathway Plan options</a:t>
            </a:r>
          </a:p>
        </c:rich>
      </c:tx>
      <c:layout>
        <c:manualLayout>
          <c:xMode val="edge"/>
          <c:yMode val="edge"/>
          <c:x val="0.14443963924934977"/>
          <c:y val="0"/>
        </c:manualLayout>
      </c:layout>
      <c:overlay val="0"/>
    </c:title>
    <c:autoTitleDeleted val="0"/>
    <c:plotArea>
      <c:layout>
        <c:manualLayout>
          <c:layoutTarget val="inner"/>
          <c:xMode val="edge"/>
          <c:yMode val="edge"/>
          <c:x val="7.1325962303492557E-2"/>
          <c:y val="0.1515449518208542"/>
          <c:w val="0.903122353608238"/>
          <c:h val="0.69445885729249146"/>
        </c:manualLayout>
      </c:layout>
      <c:barChart>
        <c:barDir val="col"/>
        <c:grouping val="clustered"/>
        <c:varyColors val="0"/>
        <c:ser>
          <c:idx val="2"/>
          <c:order val="2"/>
          <c:tx>
            <c:strRef>
              <c:f>'Summary '!$A$11</c:f>
              <c:strCache>
                <c:ptCount val="1"/>
                <c:pt idx="0">
                  <c:v>Net benefit (B-C) ($M)</c:v>
                </c:pt>
              </c:strCache>
            </c:strRef>
          </c:tx>
          <c:spPr>
            <a:solidFill>
              <a:schemeClr val="accent3">
                <a:lumMod val="40000"/>
                <a:lumOff val="60000"/>
              </a:schemeClr>
            </a:solidFill>
            <a:ln>
              <a:solidFill>
                <a:schemeClr val="tx1">
                  <a:lumMod val="50000"/>
                  <a:lumOff val="50000"/>
                </a:schemeClr>
              </a:solidFill>
            </a:ln>
          </c:spPr>
          <c:invertIfNegative val="0"/>
          <c:cat>
            <c:strRef>
              <c:f>'Summary '!$B$6:$I$6</c:f>
              <c:strCache>
                <c:ptCount val="8"/>
                <c:pt idx="0">
                  <c:v>Current </c:v>
                </c:pt>
                <c:pt idx="1">
                  <c:v>LOF 4</c:v>
                </c:pt>
                <c:pt idx="2">
                  <c:v>LOF 3</c:v>
                </c:pt>
                <c:pt idx="3">
                  <c:v>LOF 2 with movement</c:v>
                </c:pt>
                <c:pt idx="4">
                  <c:v>LOF 2</c:v>
                </c:pt>
                <c:pt idx="5">
                  <c:v>LOF 1</c:v>
                </c:pt>
                <c:pt idx="6">
                  <c:v>LOF 0</c:v>
                </c:pt>
                <c:pt idx="7">
                  <c:v>Clean Vessel Pass</c:v>
                </c:pt>
              </c:strCache>
            </c:strRef>
          </c:cat>
          <c:val>
            <c:numRef>
              <c:f>'Summary '!$B$11:$I$11</c:f>
              <c:numCache>
                <c:formatCode>"$"#,##0.0</c:formatCode>
                <c:ptCount val="8"/>
                <c:pt idx="0">
                  <c:v>5.9339367702448218</c:v>
                </c:pt>
                <c:pt idx="1">
                  <c:v>19.787465142588093</c:v>
                </c:pt>
                <c:pt idx="2">
                  <c:v>51.190720463777126</c:v>
                </c:pt>
                <c:pt idx="3">
                  <c:v>56.094267564961314</c:v>
                </c:pt>
                <c:pt idx="4">
                  <c:v>43.776342385440955</c:v>
                </c:pt>
                <c:pt idx="5">
                  <c:v>10.789943568676428</c:v>
                </c:pt>
                <c:pt idx="6">
                  <c:v>-27.917254410705816</c:v>
                </c:pt>
                <c:pt idx="7">
                  <c:v>30.673901636815355</c:v>
                </c:pt>
              </c:numCache>
            </c:numRef>
          </c:val>
          <c:extLst>
            <c:ext xmlns:c16="http://schemas.microsoft.com/office/drawing/2014/chart" uri="{C3380CC4-5D6E-409C-BE32-E72D297353CC}">
              <c16:uniqueId val="{00000000-AEA0-4DFE-AAE6-A8BFF5C21855}"/>
            </c:ext>
          </c:extLst>
        </c:ser>
        <c:dLbls>
          <c:showLegendKey val="0"/>
          <c:showVal val="0"/>
          <c:showCatName val="0"/>
          <c:showSerName val="0"/>
          <c:showPercent val="0"/>
          <c:showBubbleSize val="0"/>
        </c:dLbls>
        <c:gapWidth val="150"/>
        <c:axId val="132167936"/>
        <c:axId val="132182400"/>
      </c:barChart>
      <c:lineChart>
        <c:grouping val="standard"/>
        <c:varyColors val="0"/>
        <c:ser>
          <c:idx val="0"/>
          <c:order val="0"/>
          <c:tx>
            <c:strRef>
              <c:f>'Summary '!$A$7</c:f>
              <c:strCache>
                <c:ptCount val="1"/>
                <c:pt idx="0">
                  <c:v>Benefit ($M)</c:v>
                </c:pt>
              </c:strCache>
            </c:strRef>
          </c:tx>
          <c:cat>
            <c:strRef>
              <c:f>'Summary '!$B$6:$I$6</c:f>
              <c:strCache>
                <c:ptCount val="8"/>
                <c:pt idx="0">
                  <c:v>Current </c:v>
                </c:pt>
                <c:pt idx="1">
                  <c:v>LOF 4</c:v>
                </c:pt>
                <c:pt idx="2">
                  <c:v>LOF 3</c:v>
                </c:pt>
                <c:pt idx="3">
                  <c:v>LOF 2 with movement</c:v>
                </c:pt>
                <c:pt idx="4">
                  <c:v>LOF 2</c:v>
                </c:pt>
                <c:pt idx="5">
                  <c:v>LOF 1</c:v>
                </c:pt>
                <c:pt idx="6">
                  <c:v>LOF 0</c:v>
                </c:pt>
                <c:pt idx="7">
                  <c:v>Clean Vessel Pass</c:v>
                </c:pt>
              </c:strCache>
            </c:strRef>
          </c:cat>
          <c:val>
            <c:numRef>
              <c:f>'Summary '!$B$7:$I$7</c:f>
              <c:numCache>
                <c:formatCode>"$"#,##0.0</c:formatCode>
                <c:ptCount val="8"/>
                <c:pt idx="0">
                  <c:v>9.2431822482216717</c:v>
                </c:pt>
                <c:pt idx="1">
                  <c:v>25.893191880399712</c:v>
                </c:pt>
                <c:pt idx="2">
                  <c:v>64.328016824563861</c:v>
                </c:pt>
                <c:pt idx="3">
                  <c:v>69.966410533800953</c:v>
                </c:pt>
                <c:pt idx="4">
                  <c:v>67.193373418185473</c:v>
                </c:pt>
                <c:pt idx="5">
                  <c:v>52.344936674472649</c:v>
                </c:pt>
                <c:pt idx="6">
                  <c:v>41.154766185472958</c:v>
                </c:pt>
                <c:pt idx="7">
                  <c:v>39.982484044559278</c:v>
                </c:pt>
              </c:numCache>
            </c:numRef>
          </c:val>
          <c:smooth val="1"/>
          <c:extLst>
            <c:ext xmlns:c16="http://schemas.microsoft.com/office/drawing/2014/chart" uri="{C3380CC4-5D6E-409C-BE32-E72D297353CC}">
              <c16:uniqueId val="{00000001-AEA0-4DFE-AAE6-A8BFF5C21855}"/>
            </c:ext>
          </c:extLst>
        </c:ser>
        <c:ser>
          <c:idx val="1"/>
          <c:order val="1"/>
          <c:tx>
            <c:strRef>
              <c:f>'Summary '!$A$10</c:f>
              <c:strCache>
                <c:ptCount val="1"/>
                <c:pt idx="0">
                  <c:v>Total Cost ($M)</c:v>
                </c:pt>
              </c:strCache>
            </c:strRef>
          </c:tx>
          <c:cat>
            <c:strRef>
              <c:f>'Summary '!$B$6:$I$6</c:f>
              <c:strCache>
                <c:ptCount val="8"/>
                <c:pt idx="0">
                  <c:v>Current </c:v>
                </c:pt>
                <c:pt idx="1">
                  <c:v>LOF 4</c:v>
                </c:pt>
                <c:pt idx="2">
                  <c:v>LOF 3</c:v>
                </c:pt>
                <c:pt idx="3">
                  <c:v>LOF 2 with movement</c:v>
                </c:pt>
                <c:pt idx="4">
                  <c:v>LOF 2</c:v>
                </c:pt>
                <c:pt idx="5">
                  <c:v>LOF 1</c:v>
                </c:pt>
                <c:pt idx="6">
                  <c:v>LOF 0</c:v>
                </c:pt>
                <c:pt idx="7">
                  <c:v>Clean Vessel Pass</c:v>
                </c:pt>
              </c:strCache>
            </c:strRef>
          </c:cat>
          <c:val>
            <c:numRef>
              <c:f>'Summary '!$B$10:$I$10</c:f>
              <c:numCache>
                <c:formatCode>"$"#,##0.0</c:formatCode>
                <c:ptCount val="8"/>
                <c:pt idx="0">
                  <c:v>3.3092454779768503</c:v>
                </c:pt>
                <c:pt idx="1">
                  <c:v>6.1057267378116187</c:v>
                </c:pt>
                <c:pt idx="2">
                  <c:v>13.137296360786738</c:v>
                </c:pt>
                <c:pt idx="3">
                  <c:v>13.87214296883964</c:v>
                </c:pt>
                <c:pt idx="4">
                  <c:v>23.417031032744518</c:v>
                </c:pt>
                <c:pt idx="5">
                  <c:v>41.554993105796221</c:v>
                </c:pt>
                <c:pt idx="6">
                  <c:v>69.072020596178774</c:v>
                </c:pt>
                <c:pt idx="7">
                  <c:v>9.3085824077439234</c:v>
                </c:pt>
              </c:numCache>
            </c:numRef>
          </c:val>
          <c:smooth val="1"/>
          <c:extLst>
            <c:ext xmlns:c16="http://schemas.microsoft.com/office/drawing/2014/chart" uri="{C3380CC4-5D6E-409C-BE32-E72D297353CC}">
              <c16:uniqueId val="{00000002-AEA0-4DFE-AAE6-A8BFF5C21855}"/>
            </c:ext>
          </c:extLst>
        </c:ser>
        <c:dLbls>
          <c:showLegendKey val="0"/>
          <c:showVal val="0"/>
          <c:showCatName val="0"/>
          <c:showSerName val="0"/>
          <c:showPercent val="0"/>
          <c:showBubbleSize val="0"/>
        </c:dLbls>
        <c:marker val="1"/>
        <c:smooth val="0"/>
        <c:axId val="132167936"/>
        <c:axId val="132182400"/>
      </c:lineChart>
      <c:catAx>
        <c:axId val="132167936"/>
        <c:scaling>
          <c:orientation val="minMax"/>
        </c:scaling>
        <c:delete val="0"/>
        <c:axPos val="b"/>
        <c:title>
          <c:tx>
            <c:rich>
              <a:bodyPr/>
              <a:lstStyle/>
              <a:p>
                <a:pPr>
                  <a:defRPr sz="1200"/>
                </a:pPr>
                <a:r>
                  <a:rPr lang="en-US" sz="1200"/>
                  <a:t>Management regime options</a:t>
                </a:r>
              </a:p>
            </c:rich>
          </c:tx>
          <c:layout>
            <c:manualLayout>
              <c:xMode val="edge"/>
              <c:yMode val="edge"/>
              <c:x val="0.35538591054784907"/>
              <c:y val="0.94349741606460213"/>
            </c:manualLayout>
          </c:layout>
          <c:overlay val="0"/>
        </c:title>
        <c:numFmt formatCode="General" sourceLinked="0"/>
        <c:majorTickMark val="out"/>
        <c:minorTickMark val="none"/>
        <c:tickLblPos val="low"/>
        <c:txPr>
          <a:bodyPr/>
          <a:lstStyle/>
          <a:p>
            <a:pPr>
              <a:defRPr b="1"/>
            </a:pPr>
            <a:endParaRPr lang="en-US"/>
          </a:p>
        </c:txPr>
        <c:crossAx val="132182400"/>
        <c:crosses val="autoZero"/>
        <c:auto val="1"/>
        <c:lblAlgn val="ctr"/>
        <c:lblOffset val="100"/>
        <c:noMultiLvlLbl val="0"/>
      </c:catAx>
      <c:valAx>
        <c:axId val="132182400"/>
        <c:scaling>
          <c:orientation val="minMax"/>
          <c:min val="-40"/>
        </c:scaling>
        <c:delete val="0"/>
        <c:axPos val="l"/>
        <c:majorGridlines/>
        <c:title>
          <c:tx>
            <c:rich>
              <a:bodyPr rot="0" vert="horz"/>
              <a:lstStyle/>
              <a:p>
                <a:pPr>
                  <a:defRPr/>
                </a:pPr>
                <a:r>
                  <a:rPr lang="en-NZ"/>
                  <a:t>Present value over 10 years ($M)</a:t>
                </a:r>
              </a:p>
            </c:rich>
          </c:tx>
          <c:layout>
            <c:manualLayout>
              <c:xMode val="edge"/>
              <c:yMode val="edge"/>
              <c:x val="5.7471273036967608E-3"/>
              <c:y val="5.8086770595199337E-2"/>
            </c:manualLayout>
          </c:layout>
          <c:overlay val="0"/>
        </c:title>
        <c:numFmt formatCode="&quot;$&quot;#,##0" sourceLinked="0"/>
        <c:majorTickMark val="out"/>
        <c:minorTickMark val="none"/>
        <c:tickLblPos val="nextTo"/>
        <c:txPr>
          <a:bodyPr/>
          <a:lstStyle/>
          <a:p>
            <a:pPr>
              <a:defRPr b="1"/>
            </a:pPr>
            <a:endParaRPr lang="en-US"/>
          </a:p>
        </c:txPr>
        <c:crossAx val="132167936"/>
        <c:crosses val="autoZero"/>
        <c:crossBetween val="between"/>
      </c:valAx>
      <c:spPr>
        <a:ln>
          <a:solidFill>
            <a:schemeClr val="tx1">
              <a:lumMod val="50000"/>
              <a:lumOff val="50000"/>
            </a:schemeClr>
          </a:solidFill>
        </a:ln>
      </c:spPr>
    </c:plotArea>
    <c:legend>
      <c:legendPos val="t"/>
      <c:layout>
        <c:manualLayout>
          <c:xMode val="edge"/>
          <c:yMode val="edge"/>
          <c:x val="0.22254204340393446"/>
          <c:y val="6.7671155085139809E-2"/>
          <c:w val="0.716241618207618"/>
          <c:h val="5.7888470929981957E-2"/>
        </c:manualLayout>
      </c:layout>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400"/>
              <a:t>Comparison of benefits and costs for Marine Pathway Plan options</a:t>
            </a:r>
          </a:p>
        </c:rich>
      </c:tx>
      <c:layout>
        <c:manualLayout>
          <c:xMode val="edge"/>
          <c:yMode val="edge"/>
          <c:x val="0.14443963924934977"/>
          <c:y val="0"/>
        </c:manualLayout>
      </c:layout>
      <c:overlay val="0"/>
    </c:title>
    <c:autoTitleDeleted val="0"/>
    <c:plotArea>
      <c:layout>
        <c:manualLayout>
          <c:layoutTarget val="inner"/>
          <c:xMode val="edge"/>
          <c:yMode val="edge"/>
          <c:x val="7.1325962303492557E-2"/>
          <c:y val="0.1515449518208542"/>
          <c:w val="0.903122353608238"/>
          <c:h val="0.69445885729249146"/>
        </c:manualLayout>
      </c:layout>
      <c:barChart>
        <c:barDir val="col"/>
        <c:grouping val="clustered"/>
        <c:varyColors val="0"/>
        <c:ser>
          <c:idx val="2"/>
          <c:order val="2"/>
          <c:tx>
            <c:strRef>
              <c:f>'Summary '!$A$11</c:f>
              <c:strCache>
                <c:ptCount val="1"/>
                <c:pt idx="0">
                  <c:v>Net benefit (B-C) ($M)</c:v>
                </c:pt>
              </c:strCache>
            </c:strRef>
          </c:tx>
          <c:spPr>
            <a:solidFill>
              <a:schemeClr val="accent3">
                <a:lumMod val="40000"/>
                <a:lumOff val="60000"/>
              </a:schemeClr>
            </a:solidFill>
            <a:ln>
              <a:solidFill>
                <a:schemeClr val="tx1">
                  <a:lumMod val="50000"/>
                  <a:lumOff val="50000"/>
                </a:schemeClr>
              </a:solidFill>
            </a:ln>
          </c:spPr>
          <c:invertIfNegative val="0"/>
          <c:cat>
            <c:strRef>
              <c:f>'Summary '!$B$6:$H$6</c:f>
              <c:strCache>
                <c:ptCount val="7"/>
                <c:pt idx="0">
                  <c:v>Current </c:v>
                </c:pt>
                <c:pt idx="1">
                  <c:v>LOF 4</c:v>
                </c:pt>
                <c:pt idx="2">
                  <c:v>LOF 3</c:v>
                </c:pt>
                <c:pt idx="3">
                  <c:v>LOF 2 with movement</c:v>
                </c:pt>
                <c:pt idx="4">
                  <c:v>LOF 2</c:v>
                </c:pt>
                <c:pt idx="5">
                  <c:v>LOF 1</c:v>
                </c:pt>
                <c:pt idx="6">
                  <c:v>LOF 0</c:v>
                </c:pt>
              </c:strCache>
            </c:strRef>
          </c:cat>
          <c:val>
            <c:numRef>
              <c:f>'Summary '!$B$11:$H$11</c:f>
              <c:numCache>
                <c:formatCode>"$"#,##0.0</c:formatCode>
                <c:ptCount val="7"/>
                <c:pt idx="0">
                  <c:v>5.9339367702448218</c:v>
                </c:pt>
                <c:pt idx="1">
                  <c:v>19.787465142588093</c:v>
                </c:pt>
                <c:pt idx="2">
                  <c:v>51.190720463777126</c:v>
                </c:pt>
                <c:pt idx="3">
                  <c:v>56.094267564961314</c:v>
                </c:pt>
                <c:pt idx="4">
                  <c:v>43.776342385440955</c:v>
                </c:pt>
                <c:pt idx="5">
                  <c:v>10.789943568676428</c:v>
                </c:pt>
                <c:pt idx="6">
                  <c:v>-27.917254410705816</c:v>
                </c:pt>
              </c:numCache>
            </c:numRef>
          </c:val>
          <c:extLst>
            <c:ext xmlns:c16="http://schemas.microsoft.com/office/drawing/2014/chart" uri="{C3380CC4-5D6E-409C-BE32-E72D297353CC}">
              <c16:uniqueId val="{00000000-C9C6-4654-80B0-F9A42A428F4A}"/>
            </c:ext>
          </c:extLst>
        </c:ser>
        <c:dLbls>
          <c:showLegendKey val="0"/>
          <c:showVal val="0"/>
          <c:showCatName val="0"/>
          <c:showSerName val="0"/>
          <c:showPercent val="0"/>
          <c:showBubbleSize val="0"/>
        </c:dLbls>
        <c:gapWidth val="150"/>
        <c:axId val="132167936"/>
        <c:axId val="132182400"/>
      </c:barChart>
      <c:lineChart>
        <c:grouping val="standard"/>
        <c:varyColors val="0"/>
        <c:ser>
          <c:idx val="0"/>
          <c:order val="0"/>
          <c:tx>
            <c:strRef>
              <c:f>'Summary '!$A$7</c:f>
              <c:strCache>
                <c:ptCount val="1"/>
                <c:pt idx="0">
                  <c:v>Benefit ($M)</c:v>
                </c:pt>
              </c:strCache>
            </c:strRef>
          </c:tx>
          <c:cat>
            <c:strRef>
              <c:f>'Summary '!$B$6:$H$6</c:f>
              <c:strCache>
                <c:ptCount val="7"/>
                <c:pt idx="0">
                  <c:v>Current </c:v>
                </c:pt>
                <c:pt idx="1">
                  <c:v>LOF 4</c:v>
                </c:pt>
                <c:pt idx="2">
                  <c:v>LOF 3</c:v>
                </c:pt>
                <c:pt idx="3">
                  <c:v>LOF 2 with movement</c:v>
                </c:pt>
                <c:pt idx="4">
                  <c:v>LOF 2</c:v>
                </c:pt>
                <c:pt idx="5">
                  <c:v>LOF 1</c:v>
                </c:pt>
                <c:pt idx="6">
                  <c:v>LOF 0</c:v>
                </c:pt>
              </c:strCache>
            </c:strRef>
          </c:cat>
          <c:val>
            <c:numRef>
              <c:f>'Summary '!$B$7:$H$7</c:f>
              <c:numCache>
                <c:formatCode>"$"#,##0.0</c:formatCode>
                <c:ptCount val="7"/>
                <c:pt idx="0">
                  <c:v>9.2431822482216717</c:v>
                </c:pt>
                <c:pt idx="1">
                  <c:v>25.893191880399712</c:v>
                </c:pt>
                <c:pt idx="2">
                  <c:v>64.328016824563861</c:v>
                </c:pt>
                <c:pt idx="3">
                  <c:v>69.966410533800953</c:v>
                </c:pt>
                <c:pt idx="4">
                  <c:v>67.193373418185473</c:v>
                </c:pt>
                <c:pt idx="5">
                  <c:v>52.344936674472649</c:v>
                </c:pt>
                <c:pt idx="6">
                  <c:v>41.154766185472958</c:v>
                </c:pt>
              </c:numCache>
            </c:numRef>
          </c:val>
          <c:smooth val="1"/>
          <c:extLst>
            <c:ext xmlns:c16="http://schemas.microsoft.com/office/drawing/2014/chart" uri="{C3380CC4-5D6E-409C-BE32-E72D297353CC}">
              <c16:uniqueId val="{00000001-C9C6-4654-80B0-F9A42A428F4A}"/>
            </c:ext>
          </c:extLst>
        </c:ser>
        <c:ser>
          <c:idx val="1"/>
          <c:order val="1"/>
          <c:tx>
            <c:strRef>
              <c:f>'Summary '!$A$10</c:f>
              <c:strCache>
                <c:ptCount val="1"/>
                <c:pt idx="0">
                  <c:v>Total Cost ($M)</c:v>
                </c:pt>
              </c:strCache>
            </c:strRef>
          </c:tx>
          <c:cat>
            <c:strRef>
              <c:f>'Summary '!$B$6:$H$6</c:f>
              <c:strCache>
                <c:ptCount val="7"/>
                <c:pt idx="0">
                  <c:v>Current </c:v>
                </c:pt>
                <c:pt idx="1">
                  <c:v>LOF 4</c:v>
                </c:pt>
                <c:pt idx="2">
                  <c:v>LOF 3</c:v>
                </c:pt>
                <c:pt idx="3">
                  <c:v>LOF 2 with movement</c:v>
                </c:pt>
                <c:pt idx="4">
                  <c:v>LOF 2</c:v>
                </c:pt>
                <c:pt idx="5">
                  <c:v>LOF 1</c:v>
                </c:pt>
                <c:pt idx="6">
                  <c:v>LOF 0</c:v>
                </c:pt>
              </c:strCache>
            </c:strRef>
          </c:cat>
          <c:val>
            <c:numRef>
              <c:f>'Summary '!$B$10:$H$10</c:f>
              <c:numCache>
                <c:formatCode>"$"#,##0.0</c:formatCode>
                <c:ptCount val="7"/>
                <c:pt idx="0">
                  <c:v>3.3092454779768503</c:v>
                </c:pt>
                <c:pt idx="1">
                  <c:v>6.1057267378116187</c:v>
                </c:pt>
                <c:pt idx="2">
                  <c:v>13.137296360786738</c:v>
                </c:pt>
                <c:pt idx="3">
                  <c:v>13.87214296883964</c:v>
                </c:pt>
                <c:pt idx="4">
                  <c:v>23.417031032744518</c:v>
                </c:pt>
                <c:pt idx="5">
                  <c:v>41.554993105796221</c:v>
                </c:pt>
                <c:pt idx="6">
                  <c:v>69.072020596178774</c:v>
                </c:pt>
              </c:numCache>
            </c:numRef>
          </c:val>
          <c:smooth val="1"/>
          <c:extLst>
            <c:ext xmlns:c16="http://schemas.microsoft.com/office/drawing/2014/chart" uri="{C3380CC4-5D6E-409C-BE32-E72D297353CC}">
              <c16:uniqueId val="{00000002-C9C6-4654-80B0-F9A42A428F4A}"/>
            </c:ext>
          </c:extLst>
        </c:ser>
        <c:dLbls>
          <c:showLegendKey val="0"/>
          <c:showVal val="0"/>
          <c:showCatName val="0"/>
          <c:showSerName val="0"/>
          <c:showPercent val="0"/>
          <c:showBubbleSize val="0"/>
        </c:dLbls>
        <c:marker val="1"/>
        <c:smooth val="0"/>
        <c:axId val="132167936"/>
        <c:axId val="132182400"/>
      </c:lineChart>
      <c:catAx>
        <c:axId val="132167936"/>
        <c:scaling>
          <c:orientation val="minMax"/>
        </c:scaling>
        <c:delete val="0"/>
        <c:axPos val="b"/>
        <c:title>
          <c:tx>
            <c:rich>
              <a:bodyPr/>
              <a:lstStyle/>
              <a:p>
                <a:pPr>
                  <a:defRPr sz="1200"/>
                </a:pPr>
                <a:r>
                  <a:rPr lang="en-US" sz="1200"/>
                  <a:t>Management regime options</a:t>
                </a:r>
              </a:p>
            </c:rich>
          </c:tx>
          <c:layout>
            <c:manualLayout>
              <c:xMode val="edge"/>
              <c:yMode val="edge"/>
              <c:x val="0.35538591054784907"/>
              <c:y val="0.94349741606460213"/>
            </c:manualLayout>
          </c:layout>
          <c:overlay val="0"/>
        </c:title>
        <c:numFmt formatCode="General" sourceLinked="0"/>
        <c:majorTickMark val="out"/>
        <c:minorTickMark val="none"/>
        <c:tickLblPos val="low"/>
        <c:txPr>
          <a:bodyPr/>
          <a:lstStyle/>
          <a:p>
            <a:pPr>
              <a:defRPr b="1"/>
            </a:pPr>
            <a:endParaRPr lang="en-US"/>
          </a:p>
        </c:txPr>
        <c:crossAx val="132182400"/>
        <c:crosses val="autoZero"/>
        <c:auto val="1"/>
        <c:lblAlgn val="ctr"/>
        <c:lblOffset val="100"/>
        <c:noMultiLvlLbl val="0"/>
      </c:catAx>
      <c:valAx>
        <c:axId val="132182400"/>
        <c:scaling>
          <c:orientation val="minMax"/>
          <c:min val="-40"/>
        </c:scaling>
        <c:delete val="0"/>
        <c:axPos val="l"/>
        <c:majorGridlines/>
        <c:title>
          <c:tx>
            <c:rich>
              <a:bodyPr rot="0" vert="horz"/>
              <a:lstStyle/>
              <a:p>
                <a:pPr>
                  <a:defRPr/>
                </a:pPr>
                <a:r>
                  <a:rPr lang="en-NZ"/>
                  <a:t>Present value over 10 years ($M)</a:t>
                </a:r>
              </a:p>
            </c:rich>
          </c:tx>
          <c:layout>
            <c:manualLayout>
              <c:xMode val="edge"/>
              <c:yMode val="edge"/>
              <c:x val="5.7471273036967608E-3"/>
              <c:y val="5.8086770595199337E-2"/>
            </c:manualLayout>
          </c:layout>
          <c:overlay val="0"/>
        </c:title>
        <c:numFmt formatCode="&quot;$&quot;#,##0" sourceLinked="0"/>
        <c:majorTickMark val="out"/>
        <c:minorTickMark val="none"/>
        <c:tickLblPos val="nextTo"/>
        <c:txPr>
          <a:bodyPr/>
          <a:lstStyle/>
          <a:p>
            <a:pPr>
              <a:defRPr b="1"/>
            </a:pPr>
            <a:endParaRPr lang="en-US"/>
          </a:p>
        </c:txPr>
        <c:crossAx val="132167936"/>
        <c:crosses val="autoZero"/>
        <c:crossBetween val="between"/>
      </c:valAx>
      <c:spPr>
        <a:ln>
          <a:solidFill>
            <a:schemeClr val="tx1">
              <a:lumMod val="50000"/>
              <a:lumOff val="50000"/>
            </a:schemeClr>
          </a:solidFill>
        </a:ln>
      </c:spPr>
    </c:plotArea>
    <c:legend>
      <c:legendPos val="t"/>
      <c:layout>
        <c:manualLayout>
          <c:xMode val="edge"/>
          <c:yMode val="edge"/>
          <c:x val="0.22254204340393446"/>
          <c:y val="6.7671155085139809E-2"/>
          <c:w val="0.716241618207618"/>
          <c:h val="5.7888470929981957E-2"/>
        </c:manualLayout>
      </c:layout>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Slime only</a:t>
            </a:r>
          </a:p>
        </c:rich>
      </c:tx>
      <c:overlay val="1"/>
    </c:title>
    <c:autoTitleDeleted val="0"/>
    <c:plotArea>
      <c:layout>
        <c:manualLayout>
          <c:layoutTarget val="inner"/>
          <c:xMode val="edge"/>
          <c:yMode val="edge"/>
          <c:x val="4.2333148376378915E-2"/>
          <c:y val="6.7570451073866583E-2"/>
          <c:w val="0.90452967041390997"/>
          <c:h val="0.88680592162434546"/>
        </c:manualLayout>
      </c:layout>
      <c:barChart>
        <c:barDir val="col"/>
        <c:grouping val="stacked"/>
        <c:varyColors val="0"/>
        <c:ser>
          <c:idx val="0"/>
          <c:order val="0"/>
          <c:tx>
            <c:strRef>
              <c:f>'Boat owner survey results'!$E$103</c:f>
              <c:strCache>
                <c:ptCount val="1"/>
                <c:pt idx="0">
                  <c:v>5th percentile</c:v>
                </c:pt>
              </c:strCache>
            </c:strRef>
          </c:tx>
          <c:spPr>
            <a:noFill/>
            <a:ln>
              <a:noFill/>
            </a:ln>
          </c:spPr>
          <c:invertIfNegative val="0"/>
          <c:cat>
            <c:strRef>
              <c:f>'Boat owner survey results'!$F$102:$H$102</c:f>
              <c:strCache>
                <c:ptCount val="3"/>
                <c:pt idx="0">
                  <c:v>Antifoul</c:v>
                </c:pt>
                <c:pt idx="1">
                  <c:v>Lift and wash</c:v>
                </c:pt>
                <c:pt idx="2">
                  <c:v>Soft cloth clean in water</c:v>
                </c:pt>
              </c:strCache>
            </c:strRef>
          </c:cat>
          <c:val>
            <c:numRef>
              <c:f>'Boat owner survey results'!$F$103:$H$103</c:f>
              <c:numCache>
                <c:formatCode>0</c:formatCode>
                <c:ptCount val="3"/>
                <c:pt idx="0">
                  <c:v>6</c:v>
                </c:pt>
                <c:pt idx="1">
                  <c:v>1</c:v>
                </c:pt>
                <c:pt idx="2">
                  <c:v>0.5</c:v>
                </c:pt>
              </c:numCache>
            </c:numRef>
          </c:val>
          <c:extLst>
            <c:ext xmlns:c16="http://schemas.microsoft.com/office/drawing/2014/chart" uri="{C3380CC4-5D6E-409C-BE32-E72D297353CC}">
              <c16:uniqueId val="{00000000-8618-490F-9F6F-725749B2A4B6}"/>
            </c:ext>
          </c:extLst>
        </c:ser>
        <c:ser>
          <c:idx val="1"/>
          <c:order val="1"/>
          <c:tx>
            <c:strRef>
              <c:f>'Boat owner survey results'!$E$104</c:f>
              <c:strCache>
                <c:ptCount val="1"/>
                <c:pt idx="0">
                  <c:v>First quartile</c:v>
                </c:pt>
              </c:strCache>
            </c:strRef>
          </c:tx>
          <c:spPr>
            <a:blipFill>
              <a:blip xmlns:r="http://schemas.openxmlformats.org/officeDocument/2006/relationships" r:embed="rId1"/>
              <a:stretch>
                <a:fillRect/>
              </a:stretch>
            </a:blipFill>
          </c:spPr>
          <c:invertIfNegative val="0"/>
          <c:cat>
            <c:strRef>
              <c:f>'Boat owner survey results'!$F$102:$H$102</c:f>
              <c:strCache>
                <c:ptCount val="3"/>
                <c:pt idx="0">
                  <c:v>Antifoul</c:v>
                </c:pt>
                <c:pt idx="1">
                  <c:v>Lift and wash</c:v>
                </c:pt>
                <c:pt idx="2">
                  <c:v>Soft cloth clean in water</c:v>
                </c:pt>
              </c:strCache>
            </c:strRef>
          </c:cat>
          <c:val>
            <c:numRef>
              <c:f>'Boat owner survey results'!$F$104:$H$104</c:f>
              <c:numCache>
                <c:formatCode>0</c:formatCode>
                <c:ptCount val="3"/>
                <c:pt idx="0">
                  <c:v>6</c:v>
                </c:pt>
                <c:pt idx="1">
                  <c:v>2</c:v>
                </c:pt>
                <c:pt idx="2">
                  <c:v>0.5</c:v>
                </c:pt>
              </c:numCache>
            </c:numRef>
          </c:val>
          <c:extLst>
            <c:ext xmlns:c16="http://schemas.microsoft.com/office/drawing/2014/chart" uri="{C3380CC4-5D6E-409C-BE32-E72D297353CC}">
              <c16:uniqueId val="{00000001-8618-490F-9F6F-725749B2A4B6}"/>
            </c:ext>
          </c:extLst>
        </c:ser>
        <c:ser>
          <c:idx val="2"/>
          <c:order val="2"/>
          <c:tx>
            <c:strRef>
              <c:f>'Boat owner survey results'!$E$105</c:f>
              <c:strCache>
                <c:ptCount val="1"/>
                <c:pt idx="0">
                  <c:v>Second quartile</c:v>
                </c:pt>
              </c:strCache>
            </c:strRef>
          </c:tx>
          <c:spPr>
            <a:solidFill>
              <a:schemeClr val="accent1">
                <a:lumMod val="75000"/>
              </a:schemeClr>
            </a:solidFill>
            <a:ln>
              <a:solidFill>
                <a:schemeClr val="tx1">
                  <a:lumMod val="50000"/>
                  <a:lumOff val="50000"/>
                </a:schemeClr>
              </a:solidFill>
            </a:ln>
          </c:spPr>
          <c:invertIfNegative val="0"/>
          <c:cat>
            <c:strRef>
              <c:f>'Boat owner survey results'!$F$102:$H$102</c:f>
              <c:strCache>
                <c:ptCount val="3"/>
                <c:pt idx="0">
                  <c:v>Antifoul</c:v>
                </c:pt>
                <c:pt idx="1">
                  <c:v>Lift and wash</c:v>
                </c:pt>
                <c:pt idx="2">
                  <c:v>Soft cloth clean in water</c:v>
                </c:pt>
              </c:strCache>
            </c:strRef>
          </c:cat>
          <c:val>
            <c:numRef>
              <c:f>'Boat owner survey results'!$F$105:$H$105</c:f>
              <c:numCache>
                <c:formatCode>General</c:formatCode>
                <c:ptCount val="3"/>
                <c:pt idx="0">
                  <c:v>0</c:v>
                </c:pt>
                <c:pt idx="1">
                  <c:v>3</c:v>
                </c:pt>
                <c:pt idx="2">
                  <c:v>2</c:v>
                </c:pt>
              </c:numCache>
            </c:numRef>
          </c:val>
          <c:extLst>
            <c:ext xmlns:c16="http://schemas.microsoft.com/office/drawing/2014/chart" uri="{C3380CC4-5D6E-409C-BE32-E72D297353CC}">
              <c16:uniqueId val="{00000002-8618-490F-9F6F-725749B2A4B6}"/>
            </c:ext>
          </c:extLst>
        </c:ser>
        <c:ser>
          <c:idx val="3"/>
          <c:order val="3"/>
          <c:tx>
            <c:strRef>
              <c:f>'Boat owner survey results'!$E$106</c:f>
              <c:strCache>
                <c:ptCount val="1"/>
                <c:pt idx="0">
                  <c:v>Third quartile</c:v>
                </c:pt>
              </c:strCache>
            </c:strRef>
          </c:tx>
          <c:spPr>
            <a:solidFill>
              <a:schemeClr val="accent1">
                <a:lumMod val="40000"/>
                <a:lumOff val="60000"/>
              </a:schemeClr>
            </a:solidFill>
            <a:ln>
              <a:solidFill>
                <a:schemeClr val="tx1">
                  <a:lumMod val="50000"/>
                  <a:lumOff val="50000"/>
                </a:schemeClr>
              </a:solidFill>
            </a:ln>
          </c:spPr>
          <c:invertIfNegative val="0"/>
          <c:cat>
            <c:strRef>
              <c:f>'Boat owner survey results'!$F$102:$H$102</c:f>
              <c:strCache>
                <c:ptCount val="3"/>
                <c:pt idx="0">
                  <c:v>Antifoul</c:v>
                </c:pt>
                <c:pt idx="1">
                  <c:v>Lift and wash</c:v>
                </c:pt>
                <c:pt idx="2">
                  <c:v>Soft cloth clean in water</c:v>
                </c:pt>
              </c:strCache>
            </c:strRef>
          </c:cat>
          <c:val>
            <c:numRef>
              <c:f>'Boat owner survey results'!$F$106:$H$106</c:f>
              <c:numCache>
                <c:formatCode>General</c:formatCode>
                <c:ptCount val="3"/>
                <c:pt idx="0">
                  <c:v>12</c:v>
                </c:pt>
                <c:pt idx="1">
                  <c:v>6</c:v>
                </c:pt>
                <c:pt idx="2">
                  <c:v>3</c:v>
                </c:pt>
              </c:numCache>
            </c:numRef>
          </c:val>
          <c:extLst>
            <c:ext xmlns:c16="http://schemas.microsoft.com/office/drawing/2014/chart" uri="{C3380CC4-5D6E-409C-BE32-E72D297353CC}">
              <c16:uniqueId val="{00000003-8618-490F-9F6F-725749B2A4B6}"/>
            </c:ext>
          </c:extLst>
        </c:ser>
        <c:ser>
          <c:idx val="4"/>
          <c:order val="4"/>
          <c:tx>
            <c:strRef>
              <c:f>'Boat owner survey results'!$E$107</c:f>
              <c:strCache>
                <c:ptCount val="1"/>
                <c:pt idx="0">
                  <c:v>95th percentile</c:v>
                </c:pt>
              </c:strCache>
            </c:strRef>
          </c:tx>
          <c:spPr>
            <a:blipFill dpi="0" rotWithShape="1">
              <a:blip xmlns:r="http://schemas.openxmlformats.org/officeDocument/2006/relationships" r:embed="rId1"/>
              <a:srcRect/>
              <a:stretch>
                <a:fillRect/>
              </a:stretch>
            </a:blipFill>
          </c:spPr>
          <c:invertIfNegative val="0"/>
          <c:cat>
            <c:strRef>
              <c:f>'Boat owner survey results'!$F$102:$H$102</c:f>
              <c:strCache>
                <c:ptCount val="3"/>
                <c:pt idx="0">
                  <c:v>Antifoul</c:v>
                </c:pt>
                <c:pt idx="1">
                  <c:v>Lift and wash</c:v>
                </c:pt>
                <c:pt idx="2">
                  <c:v>Soft cloth clean in water</c:v>
                </c:pt>
              </c:strCache>
            </c:strRef>
          </c:cat>
          <c:val>
            <c:numRef>
              <c:f>'Boat owner survey results'!$F$107:$H$107</c:f>
              <c:numCache>
                <c:formatCode>0</c:formatCode>
                <c:ptCount val="3"/>
                <c:pt idx="0">
                  <c:v>12</c:v>
                </c:pt>
                <c:pt idx="1">
                  <c:v>4.1999999999999957</c:v>
                </c:pt>
                <c:pt idx="2">
                  <c:v>6</c:v>
                </c:pt>
              </c:numCache>
            </c:numRef>
          </c:val>
          <c:extLst>
            <c:ext xmlns:c16="http://schemas.microsoft.com/office/drawing/2014/chart" uri="{C3380CC4-5D6E-409C-BE32-E72D297353CC}">
              <c16:uniqueId val="{00000004-8618-490F-9F6F-725749B2A4B6}"/>
            </c:ext>
          </c:extLst>
        </c:ser>
        <c:dLbls>
          <c:showLegendKey val="0"/>
          <c:showVal val="0"/>
          <c:showCatName val="0"/>
          <c:showSerName val="0"/>
          <c:showPercent val="0"/>
          <c:showBubbleSize val="0"/>
        </c:dLbls>
        <c:gapWidth val="150"/>
        <c:overlap val="100"/>
        <c:axId val="152726144"/>
        <c:axId val="152732416"/>
      </c:barChart>
      <c:lineChart>
        <c:grouping val="standard"/>
        <c:varyColors val="0"/>
        <c:ser>
          <c:idx val="5"/>
          <c:order val="5"/>
          <c:tx>
            <c:strRef>
              <c:f>'Boat owner survey results'!$E$108</c:f>
              <c:strCache>
                <c:ptCount val="1"/>
                <c:pt idx="0">
                  <c:v>Mean</c:v>
                </c:pt>
              </c:strCache>
            </c:strRef>
          </c:tx>
          <c:spPr>
            <a:ln>
              <a:noFill/>
            </a:ln>
          </c:spPr>
          <c:marker>
            <c:symbol val="circle"/>
            <c:size val="13"/>
            <c:spPr>
              <a:solidFill>
                <a:schemeClr val="tx1"/>
              </a:solidFill>
              <a:ln>
                <a:solidFill>
                  <a:schemeClr val="tx1"/>
                </a:solidFill>
              </a:ln>
            </c:spPr>
          </c:marker>
          <c:val>
            <c:numRef>
              <c:f>'Boat owner survey results'!$F$108:$H$108</c:f>
              <c:numCache>
                <c:formatCode>0</c:formatCode>
                <c:ptCount val="3"/>
                <c:pt idx="0">
                  <c:v>17.416666666666668</c:v>
                </c:pt>
                <c:pt idx="1">
                  <c:v>8.1933962264150946</c:v>
                </c:pt>
                <c:pt idx="2">
                  <c:v>4.2587719298245617</c:v>
                </c:pt>
              </c:numCache>
            </c:numRef>
          </c:val>
          <c:smooth val="0"/>
          <c:extLst>
            <c:ext xmlns:c16="http://schemas.microsoft.com/office/drawing/2014/chart" uri="{C3380CC4-5D6E-409C-BE32-E72D297353CC}">
              <c16:uniqueId val="{00000005-8618-490F-9F6F-725749B2A4B6}"/>
            </c:ext>
          </c:extLst>
        </c:ser>
        <c:dLbls>
          <c:showLegendKey val="0"/>
          <c:showVal val="0"/>
          <c:showCatName val="0"/>
          <c:showSerName val="0"/>
          <c:showPercent val="0"/>
          <c:showBubbleSize val="0"/>
        </c:dLbls>
        <c:marker val="1"/>
        <c:smooth val="0"/>
        <c:axId val="152726144"/>
        <c:axId val="152732416"/>
      </c:lineChart>
      <c:catAx>
        <c:axId val="152726144"/>
        <c:scaling>
          <c:orientation val="minMax"/>
        </c:scaling>
        <c:delete val="0"/>
        <c:axPos val="b"/>
        <c:numFmt formatCode="General" sourceLinked="0"/>
        <c:majorTickMark val="out"/>
        <c:minorTickMark val="none"/>
        <c:tickLblPos val="nextTo"/>
        <c:txPr>
          <a:bodyPr/>
          <a:lstStyle/>
          <a:p>
            <a:pPr>
              <a:defRPr sz="1400" b="1"/>
            </a:pPr>
            <a:endParaRPr lang="en-US"/>
          </a:p>
        </c:txPr>
        <c:crossAx val="152732416"/>
        <c:crosses val="autoZero"/>
        <c:auto val="1"/>
        <c:lblAlgn val="ctr"/>
        <c:lblOffset val="100"/>
        <c:noMultiLvlLbl val="0"/>
      </c:catAx>
      <c:valAx>
        <c:axId val="152732416"/>
        <c:scaling>
          <c:orientation val="minMax"/>
          <c:max val="45"/>
        </c:scaling>
        <c:delete val="0"/>
        <c:axPos val="l"/>
        <c:majorGridlines/>
        <c:title>
          <c:tx>
            <c:rich>
              <a:bodyPr rot="0" vert="horz"/>
              <a:lstStyle/>
              <a:p>
                <a:pPr>
                  <a:defRPr/>
                </a:pPr>
                <a:r>
                  <a:rPr lang="en-NZ"/>
                  <a:t>Months</a:t>
                </a:r>
              </a:p>
            </c:rich>
          </c:tx>
          <c:layout>
            <c:manualLayout>
              <c:xMode val="edge"/>
              <c:yMode val="edge"/>
              <c:x val="0"/>
              <c:y val="2.5441629530800352E-2"/>
            </c:manualLayout>
          </c:layout>
          <c:overlay val="0"/>
        </c:title>
        <c:numFmt formatCode="0" sourceLinked="1"/>
        <c:majorTickMark val="out"/>
        <c:minorTickMark val="none"/>
        <c:tickLblPos val="nextTo"/>
        <c:txPr>
          <a:bodyPr/>
          <a:lstStyle/>
          <a:p>
            <a:pPr>
              <a:defRPr sz="1200" b="1"/>
            </a:pPr>
            <a:endParaRPr lang="en-US"/>
          </a:p>
        </c:txPr>
        <c:crossAx val="152726144"/>
        <c:crosses val="autoZero"/>
        <c:crossBetween val="between"/>
      </c:valAx>
      <c:spPr>
        <a:ln>
          <a:solidFill>
            <a:schemeClr val="tx1">
              <a:lumMod val="50000"/>
              <a:lumOff val="50000"/>
            </a:schemeClr>
          </a:solidFill>
        </a:ln>
      </c:spPr>
    </c:plotArea>
    <c:plotVisOnly val="1"/>
    <c:dispBlanksAs val="gap"/>
    <c:showDLblsOverMax val="0"/>
  </c:chart>
  <c:spPr>
    <a:ln>
      <a:noFill/>
    </a:ln>
  </c:spPr>
  <c:printSettings>
    <c:headerFooter/>
    <c:pageMargins b="0.75" l="0.7" r="0.7" t="0.75" header="0.3" footer="0.3"/>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Antifoul</a:t>
            </a:r>
          </a:p>
        </c:rich>
      </c:tx>
      <c:overlay val="1"/>
    </c:title>
    <c:autoTitleDeleted val="0"/>
    <c:plotArea>
      <c:layout>
        <c:manualLayout>
          <c:layoutTarget val="inner"/>
          <c:xMode val="edge"/>
          <c:yMode val="edge"/>
          <c:x val="4.2333148376378915E-2"/>
          <c:y val="6.7570451073866583E-2"/>
          <c:w val="0.90452967041390997"/>
          <c:h val="0.88680592162434546"/>
        </c:manualLayout>
      </c:layout>
      <c:barChart>
        <c:barDir val="col"/>
        <c:grouping val="stacked"/>
        <c:varyColors val="0"/>
        <c:ser>
          <c:idx val="0"/>
          <c:order val="0"/>
          <c:tx>
            <c:strRef>
              <c:f>'Boat owner survey results'!$E$112</c:f>
              <c:strCache>
                <c:ptCount val="1"/>
                <c:pt idx="0">
                  <c:v>5th percentile</c:v>
                </c:pt>
              </c:strCache>
            </c:strRef>
          </c:tx>
          <c:spPr>
            <a:noFill/>
            <a:ln>
              <a:noFill/>
            </a:ln>
          </c:spPr>
          <c:invertIfNegative val="0"/>
          <c:cat>
            <c:strRef>
              <c:f>'Boat owner survey results'!$F$111:$H$111</c:f>
              <c:strCache>
                <c:ptCount val="3"/>
                <c:pt idx="0">
                  <c:v>Slime only</c:v>
                </c:pt>
                <c:pt idx="1">
                  <c:v>Moderate fouling</c:v>
                </c:pt>
                <c:pt idx="2">
                  <c:v>Very heavy fouling</c:v>
                </c:pt>
              </c:strCache>
            </c:strRef>
          </c:cat>
          <c:val>
            <c:numRef>
              <c:f>'Boat owner survey results'!$F$112:$H$112</c:f>
              <c:numCache>
                <c:formatCode>0</c:formatCode>
                <c:ptCount val="3"/>
                <c:pt idx="0">
                  <c:v>6</c:v>
                </c:pt>
                <c:pt idx="1">
                  <c:v>12</c:v>
                </c:pt>
                <c:pt idx="2">
                  <c:v>12</c:v>
                </c:pt>
              </c:numCache>
            </c:numRef>
          </c:val>
          <c:extLst>
            <c:ext xmlns:c16="http://schemas.microsoft.com/office/drawing/2014/chart" uri="{C3380CC4-5D6E-409C-BE32-E72D297353CC}">
              <c16:uniqueId val="{00000000-8627-4948-8C76-546B963FF7BE}"/>
            </c:ext>
          </c:extLst>
        </c:ser>
        <c:ser>
          <c:idx val="1"/>
          <c:order val="1"/>
          <c:tx>
            <c:strRef>
              <c:f>'Boat owner survey results'!$E$113</c:f>
              <c:strCache>
                <c:ptCount val="1"/>
                <c:pt idx="0">
                  <c:v>First quartile</c:v>
                </c:pt>
              </c:strCache>
            </c:strRef>
          </c:tx>
          <c:spPr>
            <a:blipFill>
              <a:blip xmlns:r="http://schemas.openxmlformats.org/officeDocument/2006/relationships" r:embed="rId1"/>
              <a:stretch>
                <a:fillRect/>
              </a:stretch>
            </a:blipFill>
          </c:spPr>
          <c:invertIfNegative val="0"/>
          <c:cat>
            <c:strRef>
              <c:f>'Boat owner survey results'!$F$111:$H$111</c:f>
              <c:strCache>
                <c:ptCount val="3"/>
                <c:pt idx="0">
                  <c:v>Slime only</c:v>
                </c:pt>
                <c:pt idx="1">
                  <c:v>Moderate fouling</c:v>
                </c:pt>
                <c:pt idx="2">
                  <c:v>Very heavy fouling</c:v>
                </c:pt>
              </c:strCache>
            </c:strRef>
          </c:cat>
          <c:val>
            <c:numRef>
              <c:f>'Boat owner survey results'!$F$113:$H$113</c:f>
              <c:numCache>
                <c:formatCode>0</c:formatCode>
                <c:ptCount val="3"/>
                <c:pt idx="0">
                  <c:v>6</c:v>
                </c:pt>
                <c:pt idx="1">
                  <c:v>0</c:v>
                </c:pt>
                <c:pt idx="2">
                  <c:v>12</c:v>
                </c:pt>
              </c:numCache>
            </c:numRef>
          </c:val>
          <c:extLst>
            <c:ext xmlns:c16="http://schemas.microsoft.com/office/drawing/2014/chart" uri="{C3380CC4-5D6E-409C-BE32-E72D297353CC}">
              <c16:uniqueId val="{00000001-8627-4948-8C76-546B963FF7BE}"/>
            </c:ext>
          </c:extLst>
        </c:ser>
        <c:ser>
          <c:idx val="2"/>
          <c:order val="2"/>
          <c:tx>
            <c:strRef>
              <c:f>'Boat owner survey results'!$E$114</c:f>
              <c:strCache>
                <c:ptCount val="1"/>
                <c:pt idx="0">
                  <c:v>Second quartile</c:v>
                </c:pt>
              </c:strCache>
            </c:strRef>
          </c:tx>
          <c:spPr>
            <a:solidFill>
              <a:schemeClr val="accent1">
                <a:lumMod val="75000"/>
              </a:schemeClr>
            </a:solidFill>
            <a:ln>
              <a:solidFill>
                <a:schemeClr val="tx1">
                  <a:lumMod val="50000"/>
                  <a:lumOff val="50000"/>
                </a:schemeClr>
              </a:solidFill>
            </a:ln>
          </c:spPr>
          <c:invertIfNegative val="0"/>
          <c:cat>
            <c:strRef>
              <c:f>'Boat owner survey results'!$F$111:$H$111</c:f>
              <c:strCache>
                <c:ptCount val="3"/>
                <c:pt idx="0">
                  <c:v>Slime only</c:v>
                </c:pt>
                <c:pt idx="1">
                  <c:v>Moderate fouling</c:v>
                </c:pt>
                <c:pt idx="2">
                  <c:v>Very heavy fouling</c:v>
                </c:pt>
              </c:strCache>
            </c:strRef>
          </c:cat>
          <c:val>
            <c:numRef>
              <c:f>'Boat owner survey results'!$F$114:$H$114</c:f>
              <c:numCache>
                <c:formatCode>0</c:formatCode>
                <c:ptCount val="3"/>
                <c:pt idx="0">
                  <c:v>0</c:v>
                </c:pt>
                <c:pt idx="1">
                  <c:v>6</c:v>
                </c:pt>
                <c:pt idx="2">
                  <c:v>0</c:v>
                </c:pt>
              </c:numCache>
            </c:numRef>
          </c:val>
          <c:extLst>
            <c:ext xmlns:c16="http://schemas.microsoft.com/office/drawing/2014/chart" uri="{C3380CC4-5D6E-409C-BE32-E72D297353CC}">
              <c16:uniqueId val="{00000002-8627-4948-8C76-546B963FF7BE}"/>
            </c:ext>
          </c:extLst>
        </c:ser>
        <c:ser>
          <c:idx val="3"/>
          <c:order val="3"/>
          <c:tx>
            <c:strRef>
              <c:f>'Boat owner survey results'!$E$115</c:f>
              <c:strCache>
                <c:ptCount val="1"/>
                <c:pt idx="0">
                  <c:v>Third quartile</c:v>
                </c:pt>
              </c:strCache>
            </c:strRef>
          </c:tx>
          <c:spPr>
            <a:solidFill>
              <a:schemeClr val="accent1">
                <a:lumMod val="40000"/>
                <a:lumOff val="60000"/>
              </a:schemeClr>
            </a:solidFill>
            <a:ln>
              <a:solidFill>
                <a:schemeClr val="tx1">
                  <a:lumMod val="50000"/>
                  <a:lumOff val="50000"/>
                </a:schemeClr>
              </a:solidFill>
            </a:ln>
          </c:spPr>
          <c:invertIfNegative val="0"/>
          <c:cat>
            <c:strRef>
              <c:f>'Boat owner survey results'!$F$111:$H$111</c:f>
              <c:strCache>
                <c:ptCount val="3"/>
                <c:pt idx="0">
                  <c:v>Slime only</c:v>
                </c:pt>
                <c:pt idx="1">
                  <c:v>Moderate fouling</c:v>
                </c:pt>
                <c:pt idx="2">
                  <c:v>Very heavy fouling</c:v>
                </c:pt>
              </c:strCache>
            </c:strRef>
          </c:cat>
          <c:val>
            <c:numRef>
              <c:f>'Boat owner survey results'!$F$115:$H$115</c:f>
              <c:numCache>
                <c:formatCode>0</c:formatCode>
                <c:ptCount val="3"/>
                <c:pt idx="0">
                  <c:v>12</c:v>
                </c:pt>
                <c:pt idx="1">
                  <c:v>6</c:v>
                </c:pt>
                <c:pt idx="2">
                  <c:v>12</c:v>
                </c:pt>
              </c:numCache>
            </c:numRef>
          </c:val>
          <c:extLst>
            <c:ext xmlns:c16="http://schemas.microsoft.com/office/drawing/2014/chart" uri="{C3380CC4-5D6E-409C-BE32-E72D297353CC}">
              <c16:uniqueId val="{00000003-8627-4948-8C76-546B963FF7BE}"/>
            </c:ext>
          </c:extLst>
        </c:ser>
        <c:ser>
          <c:idx val="4"/>
          <c:order val="4"/>
          <c:tx>
            <c:strRef>
              <c:f>'Boat owner survey results'!$E$116</c:f>
              <c:strCache>
                <c:ptCount val="1"/>
                <c:pt idx="0">
                  <c:v>95th percentile</c:v>
                </c:pt>
              </c:strCache>
            </c:strRef>
          </c:tx>
          <c:spPr>
            <a:blipFill dpi="0" rotWithShape="1">
              <a:blip xmlns:r="http://schemas.openxmlformats.org/officeDocument/2006/relationships" r:embed="rId1"/>
              <a:srcRect/>
              <a:stretch>
                <a:fillRect/>
              </a:stretch>
            </a:blipFill>
          </c:spPr>
          <c:invertIfNegative val="0"/>
          <c:cat>
            <c:strRef>
              <c:f>'Boat owner survey results'!$F$111:$H$111</c:f>
              <c:strCache>
                <c:ptCount val="3"/>
                <c:pt idx="0">
                  <c:v>Slime only</c:v>
                </c:pt>
                <c:pt idx="1">
                  <c:v>Moderate fouling</c:v>
                </c:pt>
                <c:pt idx="2">
                  <c:v>Very heavy fouling</c:v>
                </c:pt>
              </c:strCache>
            </c:strRef>
          </c:cat>
          <c:val>
            <c:numRef>
              <c:f>'Boat owner survey results'!$F$116:$H$116</c:f>
              <c:numCache>
                <c:formatCode>0</c:formatCode>
                <c:ptCount val="3"/>
                <c:pt idx="0">
                  <c:v>12</c:v>
                </c:pt>
                <c:pt idx="1">
                  <c:v>12</c:v>
                </c:pt>
                <c:pt idx="2">
                  <c:v>7.8000000000000256</c:v>
                </c:pt>
              </c:numCache>
            </c:numRef>
          </c:val>
          <c:extLst>
            <c:ext xmlns:c16="http://schemas.microsoft.com/office/drawing/2014/chart" uri="{C3380CC4-5D6E-409C-BE32-E72D297353CC}">
              <c16:uniqueId val="{00000004-8627-4948-8C76-546B963FF7BE}"/>
            </c:ext>
          </c:extLst>
        </c:ser>
        <c:dLbls>
          <c:showLegendKey val="0"/>
          <c:showVal val="0"/>
          <c:showCatName val="0"/>
          <c:showSerName val="0"/>
          <c:showPercent val="0"/>
          <c:showBubbleSize val="0"/>
        </c:dLbls>
        <c:gapWidth val="150"/>
        <c:overlap val="100"/>
        <c:axId val="161263616"/>
        <c:axId val="161265536"/>
      </c:barChart>
      <c:lineChart>
        <c:grouping val="standard"/>
        <c:varyColors val="0"/>
        <c:ser>
          <c:idx val="5"/>
          <c:order val="5"/>
          <c:tx>
            <c:strRef>
              <c:f>'Boat owner survey results'!$E$117</c:f>
              <c:strCache>
                <c:ptCount val="1"/>
                <c:pt idx="0">
                  <c:v>Mean</c:v>
                </c:pt>
              </c:strCache>
            </c:strRef>
          </c:tx>
          <c:spPr>
            <a:ln>
              <a:noFill/>
            </a:ln>
          </c:spPr>
          <c:marker>
            <c:symbol val="circle"/>
            <c:size val="13"/>
            <c:spPr>
              <a:solidFill>
                <a:schemeClr val="tx1"/>
              </a:solidFill>
              <a:ln>
                <a:solidFill>
                  <a:schemeClr val="tx1"/>
                </a:solidFill>
              </a:ln>
            </c:spPr>
          </c:marker>
          <c:val>
            <c:numRef>
              <c:f>'Boat owner survey results'!$F$117:$H$117</c:f>
              <c:numCache>
                <c:formatCode>0</c:formatCode>
                <c:ptCount val="3"/>
                <c:pt idx="0">
                  <c:v>17.416666666666668</c:v>
                </c:pt>
                <c:pt idx="1">
                  <c:v>19.375</c:v>
                </c:pt>
                <c:pt idx="2">
                  <c:v>28.46153846153846</c:v>
                </c:pt>
              </c:numCache>
            </c:numRef>
          </c:val>
          <c:smooth val="0"/>
          <c:extLst>
            <c:ext xmlns:c16="http://schemas.microsoft.com/office/drawing/2014/chart" uri="{C3380CC4-5D6E-409C-BE32-E72D297353CC}">
              <c16:uniqueId val="{00000005-8627-4948-8C76-546B963FF7BE}"/>
            </c:ext>
          </c:extLst>
        </c:ser>
        <c:dLbls>
          <c:showLegendKey val="0"/>
          <c:showVal val="0"/>
          <c:showCatName val="0"/>
          <c:showSerName val="0"/>
          <c:showPercent val="0"/>
          <c:showBubbleSize val="0"/>
        </c:dLbls>
        <c:marker val="1"/>
        <c:smooth val="0"/>
        <c:axId val="161263616"/>
        <c:axId val="161265536"/>
      </c:lineChart>
      <c:catAx>
        <c:axId val="161263616"/>
        <c:scaling>
          <c:orientation val="minMax"/>
        </c:scaling>
        <c:delete val="0"/>
        <c:axPos val="b"/>
        <c:numFmt formatCode="General" sourceLinked="0"/>
        <c:majorTickMark val="out"/>
        <c:minorTickMark val="none"/>
        <c:tickLblPos val="nextTo"/>
        <c:txPr>
          <a:bodyPr/>
          <a:lstStyle/>
          <a:p>
            <a:pPr>
              <a:defRPr sz="1400" b="1"/>
            </a:pPr>
            <a:endParaRPr lang="en-US"/>
          </a:p>
        </c:txPr>
        <c:crossAx val="161265536"/>
        <c:crosses val="autoZero"/>
        <c:auto val="1"/>
        <c:lblAlgn val="ctr"/>
        <c:lblOffset val="100"/>
        <c:noMultiLvlLbl val="0"/>
      </c:catAx>
      <c:valAx>
        <c:axId val="161265536"/>
        <c:scaling>
          <c:orientation val="minMax"/>
          <c:max val="45"/>
        </c:scaling>
        <c:delete val="0"/>
        <c:axPos val="l"/>
        <c:majorGridlines/>
        <c:title>
          <c:tx>
            <c:rich>
              <a:bodyPr rot="0" vert="horz"/>
              <a:lstStyle/>
              <a:p>
                <a:pPr>
                  <a:defRPr/>
                </a:pPr>
                <a:r>
                  <a:rPr lang="en-NZ"/>
                  <a:t>Months</a:t>
                </a:r>
              </a:p>
            </c:rich>
          </c:tx>
          <c:layout>
            <c:manualLayout>
              <c:xMode val="edge"/>
              <c:yMode val="edge"/>
              <c:x val="0"/>
              <c:y val="2.5441629530800352E-2"/>
            </c:manualLayout>
          </c:layout>
          <c:overlay val="0"/>
        </c:title>
        <c:numFmt formatCode="0" sourceLinked="1"/>
        <c:majorTickMark val="out"/>
        <c:minorTickMark val="none"/>
        <c:tickLblPos val="nextTo"/>
        <c:txPr>
          <a:bodyPr/>
          <a:lstStyle/>
          <a:p>
            <a:pPr>
              <a:defRPr sz="1200" b="1"/>
            </a:pPr>
            <a:endParaRPr lang="en-US"/>
          </a:p>
        </c:txPr>
        <c:crossAx val="161263616"/>
        <c:crosses val="autoZero"/>
        <c:crossBetween val="between"/>
      </c:valAx>
      <c:spPr>
        <a:ln>
          <a:solidFill>
            <a:schemeClr val="tx1">
              <a:lumMod val="50000"/>
              <a:lumOff val="50000"/>
            </a:schemeClr>
          </a:solidFill>
        </a:ln>
      </c:spPr>
    </c:plotArea>
    <c:plotVisOnly val="1"/>
    <c:dispBlanksAs val="gap"/>
    <c:showDLblsOverMax val="0"/>
  </c:chart>
  <c:spPr>
    <a:ln>
      <a:noFill/>
    </a:ln>
  </c:spPr>
  <c:printSettings>
    <c:headerFooter/>
    <c:pageMargins b="0.75" l="0.7" r="0.7" t="0.75" header="0.3" footer="0.3"/>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Lift and wash</a:t>
            </a:r>
          </a:p>
        </c:rich>
      </c:tx>
      <c:overlay val="1"/>
    </c:title>
    <c:autoTitleDeleted val="0"/>
    <c:plotArea>
      <c:layout>
        <c:manualLayout>
          <c:layoutTarget val="inner"/>
          <c:xMode val="edge"/>
          <c:yMode val="edge"/>
          <c:x val="4.2333148376378915E-2"/>
          <c:y val="6.7570451073866583E-2"/>
          <c:w val="0.90452967041390997"/>
          <c:h val="0.88680592162434546"/>
        </c:manualLayout>
      </c:layout>
      <c:barChart>
        <c:barDir val="col"/>
        <c:grouping val="stacked"/>
        <c:varyColors val="0"/>
        <c:ser>
          <c:idx val="0"/>
          <c:order val="0"/>
          <c:tx>
            <c:strRef>
              <c:f>'Boat owner survey results'!$E$112</c:f>
              <c:strCache>
                <c:ptCount val="1"/>
                <c:pt idx="0">
                  <c:v>5th percentile</c:v>
                </c:pt>
              </c:strCache>
            </c:strRef>
          </c:tx>
          <c:spPr>
            <a:noFill/>
            <a:ln>
              <a:noFill/>
            </a:ln>
          </c:spPr>
          <c:invertIfNegative val="0"/>
          <c:cat>
            <c:strRef>
              <c:f>'Boat owner survey results'!$I$111:$K$111</c:f>
              <c:strCache>
                <c:ptCount val="3"/>
                <c:pt idx="0">
                  <c:v>Slime only</c:v>
                </c:pt>
                <c:pt idx="1">
                  <c:v>Moderate fouling</c:v>
                </c:pt>
                <c:pt idx="2">
                  <c:v>Very heavy fouling</c:v>
                </c:pt>
              </c:strCache>
            </c:strRef>
          </c:cat>
          <c:val>
            <c:numRef>
              <c:f>'Boat owner survey results'!$I$112:$K$112</c:f>
              <c:numCache>
                <c:formatCode>0</c:formatCode>
                <c:ptCount val="3"/>
                <c:pt idx="0">
                  <c:v>1</c:v>
                </c:pt>
                <c:pt idx="1">
                  <c:v>2.8</c:v>
                </c:pt>
                <c:pt idx="2">
                  <c:v>4.4000000000000004</c:v>
                </c:pt>
              </c:numCache>
            </c:numRef>
          </c:val>
          <c:extLst>
            <c:ext xmlns:c16="http://schemas.microsoft.com/office/drawing/2014/chart" uri="{C3380CC4-5D6E-409C-BE32-E72D297353CC}">
              <c16:uniqueId val="{00000000-EBD4-4510-880D-2D203FCACE0A}"/>
            </c:ext>
          </c:extLst>
        </c:ser>
        <c:ser>
          <c:idx val="1"/>
          <c:order val="1"/>
          <c:tx>
            <c:strRef>
              <c:f>'Boat owner survey results'!$E$113</c:f>
              <c:strCache>
                <c:ptCount val="1"/>
                <c:pt idx="0">
                  <c:v>First quartile</c:v>
                </c:pt>
              </c:strCache>
            </c:strRef>
          </c:tx>
          <c:spPr>
            <a:blipFill>
              <a:blip xmlns:r="http://schemas.openxmlformats.org/officeDocument/2006/relationships" r:embed="rId1"/>
              <a:stretch>
                <a:fillRect/>
              </a:stretch>
            </a:blipFill>
          </c:spPr>
          <c:invertIfNegative val="0"/>
          <c:cat>
            <c:strRef>
              <c:f>'Boat owner survey results'!$I$111:$K$111</c:f>
              <c:strCache>
                <c:ptCount val="3"/>
                <c:pt idx="0">
                  <c:v>Slime only</c:v>
                </c:pt>
                <c:pt idx="1">
                  <c:v>Moderate fouling</c:v>
                </c:pt>
                <c:pt idx="2">
                  <c:v>Very heavy fouling</c:v>
                </c:pt>
              </c:strCache>
            </c:strRef>
          </c:cat>
          <c:val>
            <c:numRef>
              <c:f>'Boat owner survey results'!$I$113:$K$113</c:f>
              <c:numCache>
                <c:formatCode>0</c:formatCode>
                <c:ptCount val="3"/>
                <c:pt idx="0">
                  <c:v>2</c:v>
                </c:pt>
                <c:pt idx="1">
                  <c:v>3.2</c:v>
                </c:pt>
                <c:pt idx="2">
                  <c:v>2.5999999999999996</c:v>
                </c:pt>
              </c:numCache>
            </c:numRef>
          </c:val>
          <c:extLst>
            <c:ext xmlns:c16="http://schemas.microsoft.com/office/drawing/2014/chart" uri="{C3380CC4-5D6E-409C-BE32-E72D297353CC}">
              <c16:uniqueId val="{00000001-EBD4-4510-880D-2D203FCACE0A}"/>
            </c:ext>
          </c:extLst>
        </c:ser>
        <c:ser>
          <c:idx val="2"/>
          <c:order val="2"/>
          <c:tx>
            <c:strRef>
              <c:f>'Boat owner survey results'!$E$114</c:f>
              <c:strCache>
                <c:ptCount val="1"/>
                <c:pt idx="0">
                  <c:v>Second quartile</c:v>
                </c:pt>
              </c:strCache>
            </c:strRef>
          </c:tx>
          <c:spPr>
            <a:solidFill>
              <a:schemeClr val="accent1">
                <a:lumMod val="75000"/>
              </a:schemeClr>
            </a:solidFill>
            <a:ln>
              <a:solidFill>
                <a:schemeClr val="tx1">
                  <a:lumMod val="50000"/>
                  <a:lumOff val="50000"/>
                </a:schemeClr>
              </a:solidFill>
            </a:ln>
          </c:spPr>
          <c:invertIfNegative val="0"/>
          <c:cat>
            <c:strRef>
              <c:f>'Boat owner survey results'!$I$111:$K$111</c:f>
              <c:strCache>
                <c:ptCount val="3"/>
                <c:pt idx="0">
                  <c:v>Slime only</c:v>
                </c:pt>
                <c:pt idx="1">
                  <c:v>Moderate fouling</c:v>
                </c:pt>
                <c:pt idx="2">
                  <c:v>Very heavy fouling</c:v>
                </c:pt>
              </c:strCache>
            </c:strRef>
          </c:cat>
          <c:val>
            <c:numRef>
              <c:f>'Boat owner survey results'!$I$114:$K$114</c:f>
              <c:numCache>
                <c:formatCode>0</c:formatCode>
                <c:ptCount val="3"/>
                <c:pt idx="0">
                  <c:v>3</c:v>
                </c:pt>
                <c:pt idx="1">
                  <c:v>0</c:v>
                </c:pt>
                <c:pt idx="2">
                  <c:v>5</c:v>
                </c:pt>
              </c:numCache>
            </c:numRef>
          </c:val>
          <c:extLst>
            <c:ext xmlns:c16="http://schemas.microsoft.com/office/drawing/2014/chart" uri="{C3380CC4-5D6E-409C-BE32-E72D297353CC}">
              <c16:uniqueId val="{00000002-EBD4-4510-880D-2D203FCACE0A}"/>
            </c:ext>
          </c:extLst>
        </c:ser>
        <c:ser>
          <c:idx val="3"/>
          <c:order val="3"/>
          <c:tx>
            <c:strRef>
              <c:f>'Boat owner survey results'!$E$115</c:f>
              <c:strCache>
                <c:ptCount val="1"/>
                <c:pt idx="0">
                  <c:v>Third quartile</c:v>
                </c:pt>
              </c:strCache>
            </c:strRef>
          </c:tx>
          <c:spPr>
            <a:solidFill>
              <a:schemeClr val="accent1">
                <a:lumMod val="40000"/>
                <a:lumOff val="60000"/>
              </a:schemeClr>
            </a:solidFill>
            <a:ln>
              <a:solidFill>
                <a:schemeClr val="tx1">
                  <a:lumMod val="50000"/>
                  <a:lumOff val="50000"/>
                </a:schemeClr>
              </a:solidFill>
            </a:ln>
          </c:spPr>
          <c:invertIfNegative val="0"/>
          <c:cat>
            <c:strRef>
              <c:f>'Boat owner survey results'!$I$111:$K$111</c:f>
              <c:strCache>
                <c:ptCount val="3"/>
                <c:pt idx="0">
                  <c:v>Slime only</c:v>
                </c:pt>
                <c:pt idx="1">
                  <c:v>Moderate fouling</c:v>
                </c:pt>
                <c:pt idx="2">
                  <c:v>Very heavy fouling</c:v>
                </c:pt>
              </c:strCache>
            </c:strRef>
          </c:cat>
          <c:val>
            <c:numRef>
              <c:f>'Boat owner survey results'!$I$115:$K$115</c:f>
              <c:numCache>
                <c:formatCode>0</c:formatCode>
                <c:ptCount val="3"/>
                <c:pt idx="0">
                  <c:v>6</c:v>
                </c:pt>
                <c:pt idx="1">
                  <c:v>6</c:v>
                </c:pt>
                <c:pt idx="2">
                  <c:v>0</c:v>
                </c:pt>
              </c:numCache>
            </c:numRef>
          </c:val>
          <c:extLst>
            <c:ext xmlns:c16="http://schemas.microsoft.com/office/drawing/2014/chart" uri="{C3380CC4-5D6E-409C-BE32-E72D297353CC}">
              <c16:uniqueId val="{00000003-EBD4-4510-880D-2D203FCACE0A}"/>
            </c:ext>
          </c:extLst>
        </c:ser>
        <c:ser>
          <c:idx val="4"/>
          <c:order val="4"/>
          <c:tx>
            <c:strRef>
              <c:f>'Boat owner survey results'!$E$116</c:f>
              <c:strCache>
                <c:ptCount val="1"/>
                <c:pt idx="0">
                  <c:v>95th percentile</c:v>
                </c:pt>
              </c:strCache>
            </c:strRef>
          </c:tx>
          <c:spPr>
            <a:blipFill dpi="0" rotWithShape="1">
              <a:blip xmlns:r="http://schemas.openxmlformats.org/officeDocument/2006/relationships" r:embed="rId1"/>
              <a:srcRect/>
              <a:stretch>
                <a:fillRect/>
              </a:stretch>
            </a:blipFill>
          </c:spPr>
          <c:invertIfNegative val="0"/>
          <c:cat>
            <c:strRef>
              <c:f>'Boat owner survey results'!$I$111:$K$111</c:f>
              <c:strCache>
                <c:ptCount val="3"/>
                <c:pt idx="0">
                  <c:v>Slime only</c:v>
                </c:pt>
                <c:pt idx="1">
                  <c:v>Moderate fouling</c:v>
                </c:pt>
                <c:pt idx="2">
                  <c:v>Very heavy fouling</c:v>
                </c:pt>
              </c:strCache>
            </c:strRef>
          </c:cat>
          <c:val>
            <c:numRef>
              <c:f>'Boat owner survey results'!$I$116:$K$116</c:f>
              <c:numCache>
                <c:formatCode>0</c:formatCode>
                <c:ptCount val="3"/>
                <c:pt idx="0">
                  <c:v>4.1999999999999957</c:v>
                </c:pt>
                <c:pt idx="1">
                  <c:v>12</c:v>
                </c:pt>
                <c:pt idx="2">
                  <c:v>16.799999999999983</c:v>
                </c:pt>
              </c:numCache>
            </c:numRef>
          </c:val>
          <c:extLst>
            <c:ext xmlns:c16="http://schemas.microsoft.com/office/drawing/2014/chart" uri="{C3380CC4-5D6E-409C-BE32-E72D297353CC}">
              <c16:uniqueId val="{00000004-EBD4-4510-880D-2D203FCACE0A}"/>
            </c:ext>
          </c:extLst>
        </c:ser>
        <c:dLbls>
          <c:showLegendKey val="0"/>
          <c:showVal val="0"/>
          <c:showCatName val="0"/>
          <c:showSerName val="0"/>
          <c:showPercent val="0"/>
          <c:showBubbleSize val="0"/>
        </c:dLbls>
        <c:gapWidth val="150"/>
        <c:overlap val="100"/>
        <c:axId val="161334016"/>
        <c:axId val="161335936"/>
      </c:barChart>
      <c:lineChart>
        <c:grouping val="standard"/>
        <c:varyColors val="0"/>
        <c:ser>
          <c:idx val="5"/>
          <c:order val="5"/>
          <c:tx>
            <c:strRef>
              <c:f>'Boat owner survey results'!$E$117</c:f>
              <c:strCache>
                <c:ptCount val="1"/>
                <c:pt idx="0">
                  <c:v>Mean</c:v>
                </c:pt>
              </c:strCache>
            </c:strRef>
          </c:tx>
          <c:spPr>
            <a:ln>
              <a:noFill/>
            </a:ln>
          </c:spPr>
          <c:marker>
            <c:symbol val="circle"/>
            <c:size val="13"/>
            <c:spPr>
              <a:solidFill>
                <a:schemeClr val="tx1"/>
              </a:solidFill>
              <a:ln>
                <a:solidFill>
                  <a:schemeClr val="tx1"/>
                </a:solidFill>
              </a:ln>
            </c:spPr>
          </c:marker>
          <c:cat>
            <c:strRef>
              <c:f>'Boat owner survey results'!$I$111:$K$111</c:f>
              <c:strCache>
                <c:ptCount val="3"/>
                <c:pt idx="0">
                  <c:v>Slime only</c:v>
                </c:pt>
                <c:pt idx="1">
                  <c:v>Moderate fouling</c:v>
                </c:pt>
                <c:pt idx="2">
                  <c:v>Very heavy fouling</c:v>
                </c:pt>
              </c:strCache>
            </c:strRef>
          </c:cat>
          <c:val>
            <c:numRef>
              <c:f>'Boat owner survey results'!$I$117:$K$117</c:f>
              <c:numCache>
                <c:formatCode>0</c:formatCode>
                <c:ptCount val="3"/>
                <c:pt idx="0">
                  <c:v>8.1933962264150946</c:v>
                </c:pt>
                <c:pt idx="1">
                  <c:v>9.7727272727272734</c:v>
                </c:pt>
                <c:pt idx="2">
                  <c:v>12.76</c:v>
                </c:pt>
              </c:numCache>
            </c:numRef>
          </c:val>
          <c:smooth val="0"/>
          <c:extLst>
            <c:ext xmlns:c16="http://schemas.microsoft.com/office/drawing/2014/chart" uri="{C3380CC4-5D6E-409C-BE32-E72D297353CC}">
              <c16:uniqueId val="{00000005-EBD4-4510-880D-2D203FCACE0A}"/>
            </c:ext>
          </c:extLst>
        </c:ser>
        <c:dLbls>
          <c:showLegendKey val="0"/>
          <c:showVal val="0"/>
          <c:showCatName val="0"/>
          <c:showSerName val="0"/>
          <c:showPercent val="0"/>
          <c:showBubbleSize val="0"/>
        </c:dLbls>
        <c:marker val="1"/>
        <c:smooth val="0"/>
        <c:axId val="161334016"/>
        <c:axId val="161335936"/>
      </c:lineChart>
      <c:catAx>
        <c:axId val="161334016"/>
        <c:scaling>
          <c:orientation val="minMax"/>
        </c:scaling>
        <c:delete val="0"/>
        <c:axPos val="b"/>
        <c:numFmt formatCode="General" sourceLinked="0"/>
        <c:majorTickMark val="out"/>
        <c:minorTickMark val="none"/>
        <c:tickLblPos val="nextTo"/>
        <c:txPr>
          <a:bodyPr/>
          <a:lstStyle/>
          <a:p>
            <a:pPr>
              <a:defRPr sz="1400" b="1"/>
            </a:pPr>
            <a:endParaRPr lang="en-US"/>
          </a:p>
        </c:txPr>
        <c:crossAx val="161335936"/>
        <c:crosses val="autoZero"/>
        <c:auto val="1"/>
        <c:lblAlgn val="ctr"/>
        <c:lblOffset val="100"/>
        <c:noMultiLvlLbl val="0"/>
      </c:catAx>
      <c:valAx>
        <c:axId val="161335936"/>
        <c:scaling>
          <c:orientation val="minMax"/>
          <c:max val="45"/>
        </c:scaling>
        <c:delete val="0"/>
        <c:axPos val="l"/>
        <c:majorGridlines/>
        <c:title>
          <c:tx>
            <c:rich>
              <a:bodyPr rot="0" vert="horz"/>
              <a:lstStyle/>
              <a:p>
                <a:pPr>
                  <a:defRPr/>
                </a:pPr>
                <a:r>
                  <a:rPr lang="en-NZ"/>
                  <a:t>Months</a:t>
                </a:r>
              </a:p>
            </c:rich>
          </c:tx>
          <c:layout>
            <c:manualLayout>
              <c:xMode val="edge"/>
              <c:yMode val="edge"/>
              <c:x val="0"/>
              <c:y val="2.5441629530800352E-2"/>
            </c:manualLayout>
          </c:layout>
          <c:overlay val="0"/>
        </c:title>
        <c:numFmt formatCode="0" sourceLinked="1"/>
        <c:majorTickMark val="out"/>
        <c:minorTickMark val="none"/>
        <c:tickLblPos val="nextTo"/>
        <c:txPr>
          <a:bodyPr/>
          <a:lstStyle/>
          <a:p>
            <a:pPr>
              <a:defRPr sz="1200" b="1"/>
            </a:pPr>
            <a:endParaRPr lang="en-US"/>
          </a:p>
        </c:txPr>
        <c:crossAx val="161334016"/>
        <c:crosses val="autoZero"/>
        <c:crossBetween val="between"/>
      </c:valAx>
      <c:spPr>
        <a:ln>
          <a:solidFill>
            <a:schemeClr val="tx1">
              <a:lumMod val="50000"/>
              <a:lumOff val="50000"/>
            </a:schemeClr>
          </a:solidFill>
        </a:ln>
      </c:spPr>
    </c:plotArea>
    <c:plotVisOnly val="1"/>
    <c:dispBlanksAs val="gap"/>
    <c:showDLblsOverMax val="0"/>
  </c:chart>
  <c:spPr>
    <a:ln>
      <a:noFill/>
    </a:ln>
  </c:spPr>
  <c:printSettings>
    <c:headerFooter/>
    <c:pageMargins b="0.75" l="0.7" r="0.7" t="0.75" header="0.3" footer="0.3"/>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Soft cloth clean in water</a:t>
            </a:r>
          </a:p>
        </c:rich>
      </c:tx>
      <c:overlay val="1"/>
    </c:title>
    <c:autoTitleDeleted val="0"/>
    <c:plotArea>
      <c:layout>
        <c:manualLayout>
          <c:layoutTarget val="inner"/>
          <c:xMode val="edge"/>
          <c:yMode val="edge"/>
          <c:x val="4.2333148376378915E-2"/>
          <c:y val="6.7570451073866583E-2"/>
          <c:w val="0.90452967041390997"/>
          <c:h val="0.88680592162434546"/>
        </c:manualLayout>
      </c:layout>
      <c:barChart>
        <c:barDir val="col"/>
        <c:grouping val="stacked"/>
        <c:varyColors val="0"/>
        <c:ser>
          <c:idx val="0"/>
          <c:order val="0"/>
          <c:tx>
            <c:strRef>
              <c:f>'Boat owner survey results'!$E$112</c:f>
              <c:strCache>
                <c:ptCount val="1"/>
                <c:pt idx="0">
                  <c:v>5th percentile</c:v>
                </c:pt>
              </c:strCache>
            </c:strRef>
          </c:tx>
          <c:spPr>
            <a:noFill/>
            <a:ln>
              <a:noFill/>
            </a:ln>
          </c:spPr>
          <c:invertIfNegative val="0"/>
          <c:cat>
            <c:strRef>
              <c:f>'Boat owner survey results'!$L$111:$N$111</c:f>
              <c:strCache>
                <c:ptCount val="3"/>
                <c:pt idx="0">
                  <c:v>Slime only</c:v>
                </c:pt>
                <c:pt idx="1">
                  <c:v>Moderate fouling</c:v>
                </c:pt>
                <c:pt idx="2">
                  <c:v>Very heavy fouling</c:v>
                </c:pt>
              </c:strCache>
            </c:strRef>
          </c:cat>
          <c:val>
            <c:numRef>
              <c:f>'Boat owner survey results'!$L$112:$N$112</c:f>
              <c:numCache>
                <c:formatCode>0</c:formatCode>
                <c:ptCount val="3"/>
                <c:pt idx="0">
                  <c:v>0.5</c:v>
                </c:pt>
                <c:pt idx="1">
                  <c:v>1</c:v>
                </c:pt>
                <c:pt idx="2">
                  <c:v>0.88750000000000007</c:v>
                </c:pt>
              </c:numCache>
            </c:numRef>
          </c:val>
          <c:extLst>
            <c:ext xmlns:c16="http://schemas.microsoft.com/office/drawing/2014/chart" uri="{C3380CC4-5D6E-409C-BE32-E72D297353CC}">
              <c16:uniqueId val="{00000000-944D-47CB-AB86-932C8A914AE6}"/>
            </c:ext>
          </c:extLst>
        </c:ser>
        <c:ser>
          <c:idx val="1"/>
          <c:order val="1"/>
          <c:tx>
            <c:strRef>
              <c:f>'Boat owner survey results'!$E$113</c:f>
              <c:strCache>
                <c:ptCount val="1"/>
                <c:pt idx="0">
                  <c:v>First quartile</c:v>
                </c:pt>
              </c:strCache>
            </c:strRef>
          </c:tx>
          <c:spPr>
            <a:blipFill>
              <a:blip xmlns:r="http://schemas.openxmlformats.org/officeDocument/2006/relationships" r:embed="rId1"/>
              <a:stretch>
                <a:fillRect/>
              </a:stretch>
            </a:blipFill>
          </c:spPr>
          <c:invertIfNegative val="0"/>
          <c:cat>
            <c:strRef>
              <c:f>'Boat owner survey results'!$L$111:$N$111</c:f>
              <c:strCache>
                <c:ptCount val="3"/>
                <c:pt idx="0">
                  <c:v>Slime only</c:v>
                </c:pt>
                <c:pt idx="1">
                  <c:v>Moderate fouling</c:v>
                </c:pt>
                <c:pt idx="2">
                  <c:v>Very heavy fouling</c:v>
                </c:pt>
              </c:strCache>
            </c:strRef>
          </c:cat>
          <c:val>
            <c:numRef>
              <c:f>'Boat owner survey results'!$L$113:$N$113</c:f>
              <c:numCache>
                <c:formatCode>0</c:formatCode>
                <c:ptCount val="3"/>
                <c:pt idx="0">
                  <c:v>0.5</c:v>
                </c:pt>
                <c:pt idx="1">
                  <c:v>1</c:v>
                </c:pt>
                <c:pt idx="2">
                  <c:v>2.1124999999999998</c:v>
                </c:pt>
              </c:numCache>
            </c:numRef>
          </c:val>
          <c:extLst>
            <c:ext xmlns:c16="http://schemas.microsoft.com/office/drawing/2014/chart" uri="{C3380CC4-5D6E-409C-BE32-E72D297353CC}">
              <c16:uniqueId val="{00000001-944D-47CB-AB86-932C8A914AE6}"/>
            </c:ext>
          </c:extLst>
        </c:ser>
        <c:ser>
          <c:idx val="2"/>
          <c:order val="2"/>
          <c:tx>
            <c:strRef>
              <c:f>'Boat owner survey results'!$E$114</c:f>
              <c:strCache>
                <c:ptCount val="1"/>
                <c:pt idx="0">
                  <c:v>Second quartile</c:v>
                </c:pt>
              </c:strCache>
            </c:strRef>
          </c:tx>
          <c:spPr>
            <a:solidFill>
              <a:schemeClr val="accent1">
                <a:lumMod val="75000"/>
              </a:schemeClr>
            </a:solidFill>
            <a:ln>
              <a:solidFill>
                <a:schemeClr val="tx1">
                  <a:lumMod val="50000"/>
                  <a:lumOff val="50000"/>
                </a:schemeClr>
              </a:solidFill>
            </a:ln>
          </c:spPr>
          <c:invertIfNegative val="0"/>
          <c:cat>
            <c:strRef>
              <c:f>'Boat owner survey results'!$L$111:$N$111</c:f>
              <c:strCache>
                <c:ptCount val="3"/>
                <c:pt idx="0">
                  <c:v>Slime only</c:v>
                </c:pt>
                <c:pt idx="1">
                  <c:v>Moderate fouling</c:v>
                </c:pt>
                <c:pt idx="2">
                  <c:v>Very heavy fouling</c:v>
                </c:pt>
              </c:strCache>
            </c:strRef>
          </c:cat>
          <c:val>
            <c:numRef>
              <c:f>'Boat owner survey results'!$L$114:$N$114</c:f>
              <c:numCache>
                <c:formatCode>0</c:formatCode>
                <c:ptCount val="3"/>
                <c:pt idx="0">
                  <c:v>2</c:v>
                </c:pt>
                <c:pt idx="1">
                  <c:v>1</c:v>
                </c:pt>
                <c:pt idx="2">
                  <c:v>3</c:v>
                </c:pt>
              </c:numCache>
            </c:numRef>
          </c:val>
          <c:extLst>
            <c:ext xmlns:c16="http://schemas.microsoft.com/office/drawing/2014/chart" uri="{C3380CC4-5D6E-409C-BE32-E72D297353CC}">
              <c16:uniqueId val="{00000002-944D-47CB-AB86-932C8A914AE6}"/>
            </c:ext>
          </c:extLst>
        </c:ser>
        <c:ser>
          <c:idx val="3"/>
          <c:order val="3"/>
          <c:tx>
            <c:strRef>
              <c:f>'Boat owner survey results'!$E$115</c:f>
              <c:strCache>
                <c:ptCount val="1"/>
                <c:pt idx="0">
                  <c:v>Third quartile</c:v>
                </c:pt>
              </c:strCache>
            </c:strRef>
          </c:tx>
          <c:spPr>
            <a:solidFill>
              <a:schemeClr val="accent1">
                <a:lumMod val="40000"/>
                <a:lumOff val="60000"/>
              </a:schemeClr>
            </a:solidFill>
            <a:ln>
              <a:solidFill>
                <a:schemeClr val="tx1">
                  <a:lumMod val="50000"/>
                  <a:lumOff val="50000"/>
                </a:schemeClr>
              </a:solidFill>
            </a:ln>
          </c:spPr>
          <c:invertIfNegative val="0"/>
          <c:cat>
            <c:strRef>
              <c:f>'Boat owner survey results'!$L$111:$N$111</c:f>
              <c:strCache>
                <c:ptCount val="3"/>
                <c:pt idx="0">
                  <c:v>Slime only</c:v>
                </c:pt>
                <c:pt idx="1">
                  <c:v>Moderate fouling</c:v>
                </c:pt>
                <c:pt idx="2">
                  <c:v>Very heavy fouling</c:v>
                </c:pt>
              </c:strCache>
            </c:strRef>
          </c:cat>
          <c:val>
            <c:numRef>
              <c:f>'Boat owner survey results'!$L$115:$N$115</c:f>
              <c:numCache>
                <c:formatCode>0</c:formatCode>
                <c:ptCount val="3"/>
                <c:pt idx="0">
                  <c:v>3</c:v>
                </c:pt>
                <c:pt idx="1">
                  <c:v>3</c:v>
                </c:pt>
                <c:pt idx="2">
                  <c:v>6</c:v>
                </c:pt>
              </c:numCache>
            </c:numRef>
          </c:val>
          <c:extLst>
            <c:ext xmlns:c16="http://schemas.microsoft.com/office/drawing/2014/chart" uri="{C3380CC4-5D6E-409C-BE32-E72D297353CC}">
              <c16:uniqueId val="{00000003-944D-47CB-AB86-932C8A914AE6}"/>
            </c:ext>
          </c:extLst>
        </c:ser>
        <c:ser>
          <c:idx val="4"/>
          <c:order val="4"/>
          <c:tx>
            <c:strRef>
              <c:f>'Boat owner survey results'!$E$116</c:f>
              <c:strCache>
                <c:ptCount val="1"/>
                <c:pt idx="0">
                  <c:v>95th percentile</c:v>
                </c:pt>
              </c:strCache>
            </c:strRef>
          </c:tx>
          <c:spPr>
            <a:blipFill dpi="0" rotWithShape="1">
              <a:blip xmlns:r="http://schemas.openxmlformats.org/officeDocument/2006/relationships" r:embed="rId1"/>
              <a:srcRect/>
              <a:stretch>
                <a:fillRect/>
              </a:stretch>
            </a:blipFill>
          </c:spPr>
          <c:invertIfNegative val="0"/>
          <c:cat>
            <c:strRef>
              <c:f>'Boat owner survey results'!$L$111:$N$111</c:f>
              <c:strCache>
                <c:ptCount val="3"/>
                <c:pt idx="0">
                  <c:v>Slime only</c:v>
                </c:pt>
                <c:pt idx="1">
                  <c:v>Moderate fouling</c:v>
                </c:pt>
                <c:pt idx="2">
                  <c:v>Very heavy fouling</c:v>
                </c:pt>
              </c:strCache>
            </c:strRef>
          </c:cat>
          <c:val>
            <c:numRef>
              <c:f>'Boat owner survey results'!$L$116:$N$116</c:f>
              <c:numCache>
                <c:formatCode>0</c:formatCode>
                <c:ptCount val="3"/>
                <c:pt idx="0">
                  <c:v>6</c:v>
                </c:pt>
                <c:pt idx="1">
                  <c:v>12</c:v>
                </c:pt>
                <c:pt idx="2">
                  <c:v>12.899999999999991</c:v>
                </c:pt>
              </c:numCache>
            </c:numRef>
          </c:val>
          <c:extLst>
            <c:ext xmlns:c16="http://schemas.microsoft.com/office/drawing/2014/chart" uri="{C3380CC4-5D6E-409C-BE32-E72D297353CC}">
              <c16:uniqueId val="{00000004-944D-47CB-AB86-932C8A914AE6}"/>
            </c:ext>
          </c:extLst>
        </c:ser>
        <c:dLbls>
          <c:showLegendKey val="0"/>
          <c:showVal val="0"/>
          <c:showCatName val="0"/>
          <c:showSerName val="0"/>
          <c:showPercent val="0"/>
          <c:showBubbleSize val="0"/>
        </c:dLbls>
        <c:gapWidth val="150"/>
        <c:overlap val="100"/>
        <c:axId val="161392128"/>
        <c:axId val="161394048"/>
      </c:barChart>
      <c:lineChart>
        <c:grouping val="standard"/>
        <c:varyColors val="0"/>
        <c:ser>
          <c:idx val="5"/>
          <c:order val="5"/>
          <c:tx>
            <c:strRef>
              <c:f>'Boat owner survey results'!$E$117</c:f>
              <c:strCache>
                <c:ptCount val="1"/>
                <c:pt idx="0">
                  <c:v>Mean</c:v>
                </c:pt>
              </c:strCache>
            </c:strRef>
          </c:tx>
          <c:spPr>
            <a:ln>
              <a:noFill/>
            </a:ln>
          </c:spPr>
          <c:marker>
            <c:symbol val="circle"/>
            <c:size val="13"/>
            <c:spPr>
              <a:solidFill>
                <a:schemeClr val="tx1"/>
              </a:solidFill>
              <a:ln>
                <a:solidFill>
                  <a:schemeClr val="tx1"/>
                </a:solidFill>
              </a:ln>
            </c:spPr>
          </c:marker>
          <c:cat>
            <c:strRef>
              <c:f>'Boat owner survey results'!$L$111:$N$111</c:f>
              <c:strCache>
                <c:ptCount val="3"/>
                <c:pt idx="0">
                  <c:v>Slime only</c:v>
                </c:pt>
                <c:pt idx="1">
                  <c:v>Moderate fouling</c:v>
                </c:pt>
                <c:pt idx="2">
                  <c:v>Very heavy fouling</c:v>
                </c:pt>
              </c:strCache>
            </c:strRef>
          </c:cat>
          <c:val>
            <c:numRef>
              <c:f>'Boat owner survey results'!$L$117:$N$117</c:f>
              <c:numCache>
                <c:formatCode>0</c:formatCode>
                <c:ptCount val="3"/>
                <c:pt idx="0">
                  <c:v>4.2587719298245617</c:v>
                </c:pt>
                <c:pt idx="1">
                  <c:v>5.612903225806452</c:v>
                </c:pt>
                <c:pt idx="2">
                  <c:v>8.0694444444444446</c:v>
                </c:pt>
              </c:numCache>
            </c:numRef>
          </c:val>
          <c:smooth val="0"/>
          <c:extLst>
            <c:ext xmlns:c16="http://schemas.microsoft.com/office/drawing/2014/chart" uri="{C3380CC4-5D6E-409C-BE32-E72D297353CC}">
              <c16:uniqueId val="{00000005-944D-47CB-AB86-932C8A914AE6}"/>
            </c:ext>
          </c:extLst>
        </c:ser>
        <c:dLbls>
          <c:showLegendKey val="0"/>
          <c:showVal val="0"/>
          <c:showCatName val="0"/>
          <c:showSerName val="0"/>
          <c:showPercent val="0"/>
          <c:showBubbleSize val="0"/>
        </c:dLbls>
        <c:marker val="1"/>
        <c:smooth val="0"/>
        <c:axId val="161392128"/>
        <c:axId val="161394048"/>
      </c:lineChart>
      <c:catAx>
        <c:axId val="161392128"/>
        <c:scaling>
          <c:orientation val="minMax"/>
        </c:scaling>
        <c:delete val="0"/>
        <c:axPos val="b"/>
        <c:numFmt formatCode="General" sourceLinked="0"/>
        <c:majorTickMark val="out"/>
        <c:minorTickMark val="none"/>
        <c:tickLblPos val="nextTo"/>
        <c:txPr>
          <a:bodyPr/>
          <a:lstStyle/>
          <a:p>
            <a:pPr>
              <a:defRPr sz="1400" b="1"/>
            </a:pPr>
            <a:endParaRPr lang="en-US"/>
          </a:p>
        </c:txPr>
        <c:crossAx val="161394048"/>
        <c:crosses val="autoZero"/>
        <c:auto val="1"/>
        <c:lblAlgn val="ctr"/>
        <c:lblOffset val="100"/>
        <c:noMultiLvlLbl val="0"/>
      </c:catAx>
      <c:valAx>
        <c:axId val="161394048"/>
        <c:scaling>
          <c:orientation val="minMax"/>
          <c:max val="45"/>
        </c:scaling>
        <c:delete val="0"/>
        <c:axPos val="l"/>
        <c:majorGridlines/>
        <c:title>
          <c:tx>
            <c:rich>
              <a:bodyPr rot="0" vert="horz"/>
              <a:lstStyle/>
              <a:p>
                <a:pPr>
                  <a:defRPr/>
                </a:pPr>
                <a:r>
                  <a:rPr lang="en-NZ"/>
                  <a:t>Months</a:t>
                </a:r>
              </a:p>
            </c:rich>
          </c:tx>
          <c:layout>
            <c:manualLayout>
              <c:xMode val="edge"/>
              <c:yMode val="edge"/>
              <c:x val="0"/>
              <c:y val="2.5441629530800352E-2"/>
            </c:manualLayout>
          </c:layout>
          <c:overlay val="0"/>
        </c:title>
        <c:numFmt formatCode="0" sourceLinked="1"/>
        <c:majorTickMark val="out"/>
        <c:minorTickMark val="none"/>
        <c:tickLblPos val="nextTo"/>
        <c:txPr>
          <a:bodyPr/>
          <a:lstStyle/>
          <a:p>
            <a:pPr>
              <a:defRPr sz="1200" b="1"/>
            </a:pPr>
            <a:endParaRPr lang="en-US"/>
          </a:p>
        </c:txPr>
        <c:crossAx val="161392128"/>
        <c:crosses val="autoZero"/>
        <c:crossBetween val="between"/>
      </c:valAx>
      <c:spPr>
        <a:ln>
          <a:solidFill>
            <a:schemeClr val="tx1">
              <a:lumMod val="50000"/>
              <a:lumOff val="50000"/>
            </a:schemeClr>
          </a:solidFill>
        </a:ln>
      </c:spPr>
    </c:plotArea>
    <c:plotVisOnly val="1"/>
    <c:dispBlanksAs val="gap"/>
    <c:showDLblsOverMax val="0"/>
  </c:chart>
  <c:spPr>
    <a:ln>
      <a:noFill/>
    </a:ln>
  </c:spPr>
  <c:printSettings>
    <c:headerFooter/>
    <c:pageMargins b="0.75" l="0.7" r="0.7" t="0.75" header="0.3" footer="0.3"/>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Moderate fouling</a:t>
            </a:r>
          </a:p>
        </c:rich>
      </c:tx>
      <c:overlay val="1"/>
    </c:title>
    <c:autoTitleDeleted val="0"/>
    <c:plotArea>
      <c:layout>
        <c:manualLayout>
          <c:layoutTarget val="inner"/>
          <c:xMode val="edge"/>
          <c:yMode val="edge"/>
          <c:x val="4.2333148376378915E-2"/>
          <c:y val="6.7570451073866583E-2"/>
          <c:w val="0.90452967041390997"/>
          <c:h val="0.88680592162434546"/>
        </c:manualLayout>
      </c:layout>
      <c:barChart>
        <c:barDir val="col"/>
        <c:grouping val="stacked"/>
        <c:varyColors val="0"/>
        <c:ser>
          <c:idx val="0"/>
          <c:order val="0"/>
          <c:tx>
            <c:strRef>
              <c:f>'Boat owner survey results'!$E$103</c:f>
              <c:strCache>
                <c:ptCount val="1"/>
                <c:pt idx="0">
                  <c:v>5th percentile</c:v>
                </c:pt>
              </c:strCache>
            </c:strRef>
          </c:tx>
          <c:spPr>
            <a:noFill/>
            <a:ln>
              <a:noFill/>
            </a:ln>
          </c:spPr>
          <c:invertIfNegative val="0"/>
          <c:cat>
            <c:strRef>
              <c:f>'Boat owner survey results'!$I$102:$K$102</c:f>
              <c:strCache>
                <c:ptCount val="3"/>
                <c:pt idx="0">
                  <c:v>Antifoul</c:v>
                </c:pt>
                <c:pt idx="1">
                  <c:v>Lift and wash</c:v>
                </c:pt>
                <c:pt idx="2">
                  <c:v>Soft cloth clean in water</c:v>
                </c:pt>
              </c:strCache>
            </c:strRef>
          </c:cat>
          <c:val>
            <c:numRef>
              <c:f>'Boat owner survey results'!$I$103:$K$103</c:f>
              <c:numCache>
                <c:formatCode>0</c:formatCode>
                <c:ptCount val="3"/>
                <c:pt idx="0">
                  <c:v>12</c:v>
                </c:pt>
                <c:pt idx="1">
                  <c:v>2.8</c:v>
                </c:pt>
                <c:pt idx="2">
                  <c:v>1</c:v>
                </c:pt>
              </c:numCache>
            </c:numRef>
          </c:val>
          <c:extLst>
            <c:ext xmlns:c16="http://schemas.microsoft.com/office/drawing/2014/chart" uri="{C3380CC4-5D6E-409C-BE32-E72D297353CC}">
              <c16:uniqueId val="{00000000-50F7-45F1-876D-E0A62A8A9CDD}"/>
            </c:ext>
          </c:extLst>
        </c:ser>
        <c:ser>
          <c:idx val="1"/>
          <c:order val="1"/>
          <c:tx>
            <c:strRef>
              <c:f>'Boat owner survey results'!$E$104</c:f>
              <c:strCache>
                <c:ptCount val="1"/>
                <c:pt idx="0">
                  <c:v>First quartile</c:v>
                </c:pt>
              </c:strCache>
            </c:strRef>
          </c:tx>
          <c:spPr>
            <a:blipFill>
              <a:blip xmlns:r="http://schemas.openxmlformats.org/officeDocument/2006/relationships" r:embed="rId1"/>
              <a:stretch>
                <a:fillRect/>
              </a:stretch>
            </a:blipFill>
          </c:spPr>
          <c:invertIfNegative val="0"/>
          <c:cat>
            <c:strRef>
              <c:f>'Boat owner survey results'!$I$102:$K$102</c:f>
              <c:strCache>
                <c:ptCount val="3"/>
                <c:pt idx="0">
                  <c:v>Antifoul</c:v>
                </c:pt>
                <c:pt idx="1">
                  <c:v>Lift and wash</c:v>
                </c:pt>
                <c:pt idx="2">
                  <c:v>Soft cloth clean in water</c:v>
                </c:pt>
              </c:strCache>
            </c:strRef>
          </c:cat>
          <c:val>
            <c:numRef>
              <c:f>'Boat owner survey results'!$I$104:$K$104</c:f>
              <c:numCache>
                <c:formatCode>0</c:formatCode>
                <c:ptCount val="3"/>
                <c:pt idx="0">
                  <c:v>0</c:v>
                </c:pt>
                <c:pt idx="1">
                  <c:v>3.2</c:v>
                </c:pt>
                <c:pt idx="2">
                  <c:v>1</c:v>
                </c:pt>
              </c:numCache>
            </c:numRef>
          </c:val>
          <c:extLst>
            <c:ext xmlns:c16="http://schemas.microsoft.com/office/drawing/2014/chart" uri="{C3380CC4-5D6E-409C-BE32-E72D297353CC}">
              <c16:uniqueId val="{00000001-50F7-45F1-876D-E0A62A8A9CDD}"/>
            </c:ext>
          </c:extLst>
        </c:ser>
        <c:ser>
          <c:idx val="2"/>
          <c:order val="2"/>
          <c:tx>
            <c:strRef>
              <c:f>'Boat owner survey results'!$E$105</c:f>
              <c:strCache>
                <c:ptCount val="1"/>
                <c:pt idx="0">
                  <c:v>Second quartile</c:v>
                </c:pt>
              </c:strCache>
            </c:strRef>
          </c:tx>
          <c:spPr>
            <a:solidFill>
              <a:schemeClr val="accent1">
                <a:lumMod val="75000"/>
              </a:schemeClr>
            </a:solidFill>
            <a:ln>
              <a:solidFill>
                <a:schemeClr val="tx1">
                  <a:lumMod val="50000"/>
                  <a:lumOff val="50000"/>
                </a:schemeClr>
              </a:solidFill>
            </a:ln>
          </c:spPr>
          <c:invertIfNegative val="0"/>
          <c:cat>
            <c:strRef>
              <c:f>'Boat owner survey results'!$I$102:$K$102</c:f>
              <c:strCache>
                <c:ptCount val="3"/>
                <c:pt idx="0">
                  <c:v>Antifoul</c:v>
                </c:pt>
                <c:pt idx="1">
                  <c:v>Lift and wash</c:v>
                </c:pt>
                <c:pt idx="2">
                  <c:v>Soft cloth clean in water</c:v>
                </c:pt>
              </c:strCache>
            </c:strRef>
          </c:cat>
          <c:val>
            <c:numRef>
              <c:f>'Boat owner survey results'!$I$105:$K$105</c:f>
              <c:numCache>
                <c:formatCode>General</c:formatCode>
                <c:ptCount val="3"/>
                <c:pt idx="0">
                  <c:v>6</c:v>
                </c:pt>
                <c:pt idx="1">
                  <c:v>0</c:v>
                </c:pt>
                <c:pt idx="2">
                  <c:v>1</c:v>
                </c:pt>
              </c:numCache>
            </c:numRef>
          </c:val>
          <c:extLst>
            <c:ext xmlns:c16="http://schemas.microsoft.com/office/drawing/2014/chart" uri="{C3380CC4-5D6E-409C-BE32-E72D297353CC}">
              <c16:uniqueId val="{00000002-50F7-45F1-876D-E0A62A8A9CDD}"/>
            </c:ext>
          </c:extLst>
        </c:ser>
        <c:ser>
          <c:idx val="3"/>
          <c:order val="3"/>
          <c:tx>
            <c:strRef>
              <c:f>'Boat owner survey results'!$E$106</c:f>
              <c:strCache>
                <c:ptCount val="1"/>
                <c:pt idx="0">
                  <c:v>Third quartile</c:v>
                </c:pt>
              </c:strCache>
            </c:strRef>
          </c:tx>
          <c:spPr>
            <a:solidFill>
              <a:schemeClr val="accent1">
                <a:lumMod val="40000"/>
                <a:lumOff val="60000"/>
              </a:schemeClr>
            </a:solidFill>
            <a:ln>
              <a:solidFill>
                <a:schemeClr val="tx1">
                  <a:lumMod val="50000"/>
                  <a:lumOff val="50000"/>
                </a:schemeClr>
              </a:solidFill>
            </a:ln>
          </c:spPr>
          <c:invertIfNegative val="0"/>
          <c:cat>
            <c:strRef>
              <c:f>'Boat owner survey results'!$I$102:$K$102</c:f>
              <c:strCache>
                <c:ptCount val="3"/>
                <c:pt idx="0">
                  <c:v>Antifoul</c:v>
                </c:pt>
                <c:pt idx="1">
                  <c:v>Lift and wash</c:v>
                </c:pt>
                <c:pt idx="2">
                  <c:v>Soft cloth clean in water</c:v>
                </c:pt>
              </c:strCache>
            </c:strRef>
          </c:cat>
          <c:val>
            <c:numRef>
              <c:f>'Boat owner survey results'!$I$106:$K$106</c:f>
              <c:numCache>
                <c:formatCode>General</c:formatCode>
                <c:ptCount val="3"/>
                <c:pt idx="0">
                  <c:v>6</c:v>
                </c:pt>
                <c:pt idx="1">
                  <c:v>6</c:v>
                </c:pt>
                <c:pt idx="2">
                  <c:v>3</c:v>
                </c:pt>
              </c:numCache>
            </c:numRef>
          </c:val>
          <c:extLst>
            <c:ext xmlns:c16="http://schemas.microsoft.com/office/drawing/2014/chart" uri="{C3380CC4-5D6E-409C-BE32-E72D297353CC}">
              <c16:uniqueId val="{00000003-50F7-45F1-876D-E0A62A8A9CDD}"/>
            </c:ext>
          </c:extLst>
        </c:ser>
        <c:ser>
          <c:idx val="4"/>
          <c:order val="4"/>
          <c:tx>
            <c:strRef>
              <c:f>'Boat owner survey results'!$E$107</c:f>
              <c:strCache>
                <c:ptCount val="1"/>
                <c:pt idx="0">
                  <c:v>95th percentile</c:v>
                </c:pt>
              </c:strCache>
            </c:strRef>
          </c:tx>
          <c:spPr>
            <a:blipFill dpi="0" rotWithShape="1">
              <a:blip xmlns:r="http://schemas.openxmlformats.org/officeDocument/2006/relationships" r:embed="rId1"/>
              <a:srcRect/>
              <a:stretch>
                <a:fillRect/>
              </a:stretch>
            </a:blipFill>
          </c:spPr>
          <c:invertIfNegative val="0"/>
          <c:cat>
            <c:strRef>
              <c:f>'Boat owner survey results'!$I$102:$K$102</c:f>
              <c:strCache>
                <c:ptCount val="3"/>
                <c:pt idx="0">
                  <c:v>Antifoul</c:v>
                </c:pt>
                <c:pt idx="1">
                  <c:v>Lift and wash</c:v>
                </c:pt>
                <c:pt idx="2">
                  <c:v>Soft cloth clean in water</c:v>
                </c:pt>
              </c:strCache>
            </c:strRef>
          </c:cat>
          <c:val>
            <c:numRef>
              <c:f>'Boat owner survey results'!$I$107:$K$107</c:f>
              <c:numCache>
                <c:formatCode>0</c:formatCode>
                <c:ptCount val="3"/>
                <c:pt idx="0">
                  <c:v>12</c:v>
                </c:pt>
                <c:pt idx="1">
                  <c:v>12</c:v>
                </c:pt>
                <c:pt idx="2">
                  <c:v>12</c:v>
                </c:pt>
              </c:numCache>
            </c:numRef>
          </c:val>
          <c:extLst>
            <c:ext xmlns:c16="http://schemas.microsoft.com/office/drawing/2014/chart" uri="{C3380CC4-5D6E-409C-BE32-E72D297353CC}">
              <c16:uniqueId val="{00000004-50F7-45F1-876D-E0A62A8A9CDD}"/>
            </c:ext>
          </c:extLst>
        </c:ser>
        <c:dLbls>
          <c:showLegendKey val="0"/>
          <c:showVal val="0"/>
          <c:showCatName val="0"/>
          <c:showSerName val="0"/>
          <c:showPercent val="0"/>
          <c:showBubbleSize val="0"/>
        </c:dLbls>
        <c:gapWidth val="150"/>
        <c:overlap val="100"/>
        <c:axId val="162584832"/>
        <c:axId val="162591104"/>
      </c:barChart>
      <c:lineChart>
        <c:grouping val="standard"/>
        <c:varyColors val="0"/>
        <c:ser>
          <c:idx val="5"/>
          <c:order val="5"/>
          <c:tx>
            <c:strRef>
              <c:f>'Boat owner survey results'!$E$108</c:f>
              <c:strCache>
                <c:ptCount val="1"/>
                <c:pt idx="0">
                  <c:v>Mean</c:v>
                </c:pt>
              </c:strCache>
            </c:strRef>
          </c:tx>
          <c:spPr>
            <a:ln>
              <a:noFill/>
            </a:ln>
          </c:spPr>
          <c:marker>
            <c:symbol val="circle"/>
            <c:size val="13"/>
            <c:spPr>
              <a:solidFill>
                <a:schemeClr val="tx1"/>
              </a:solidFill>
              <a:ln>
                <a:solidFill>
                  <a:schemeClr val="tx1"/>
                </a:solidFill>
              </a:ln>
            </c:spPr>
          </c:marker>
          <c:cat>
            <c:strRef>
              <c:f>'Boat owner survey results'!$I$102:$K$102</c:f>
              <c:strCache>
                <c:ptCount val="3"/>
                <c:pt idx="0">
                  <c:v>Antifoul</c:v>
                </c:pt>
                <c:pt idx="1">
                  <c:v>Lift and wash</c:v>
                </c:pt>
                <c:pt idx="2">
                  <c:v>Soft cloth clean in water</c:v>
                </c:pt>
              </c:strCache>
            </c:strRef>
          </c:cat>
          <c:val>
            <c:numRef>
              <c:f>'Boat owner survey results'!$I$108:$K$108</c:f>
              <c:numCache>
                <c:formatCode>0</c:formatCode>
                <c:ptCount val="3"/>
                <c:pt idx="0">
                  <c:v>19.375</c:v>
                </c:pt>
                <c:pt idx="1">
                  <c:v>9.7727272727272734</c:v>
                </c:pt>
                <c:pt idx="2">
                  <c:v>5.612903225806452</c:v>
                </c:pt>
              </c:numCache>
            </c:numRef>
          </c:val>
          <c:smooth val="0"/>
          <c:extLst>
            <c:ext xmlns:c16="http://schemas.microsoft.com/office/drawing/2014/chart" uri="{C3380CC4-5D6E-409C-BE32-E72D297353CC}">
              <c16:uniqueId val="{00000005-50F7-45F1-876D-E0A62A8A9CDD}"/>
            </c:ext>
          </c:extLst>
        </c:ser>
        <c:dLbls>
          <c:showLegendKey val="0"/>
          <c:showVal val="0"/>
          <c:showCatName val="0"/>
          <c:showSerName val="0"/>
          <c:showPercent val="0"/>
          <c:showBubbleSize val="0"/>
        </c:dLbls>
        <c:marker val="1"/>
        <c:smooth val="0"/>
        <c:axId val="162584832"/>
        <c:axId val="162591104"/>
      </c:lineChart>
      <c:catAx>
        <c:axId val="162584832"/>
        <c:scaling>
          <c:orientation val="minMax"/>
        </c:scaling>
        <c:delete val="0"/>
        <c:axPos val="b"/>
        <c:numFmt formatCode="General" sourceLinked="0"/>
        <c:majorTickMark val="out"/>
        <c:minorTickMark val="none"/>
        <c:tickLblPos val="nextTo"/>
        <c:txPr>
          <a:bodyPr/>
          <a:lstStyle/>
          <a:p>
            <a:pPr>
              <a:defRPr sz="1400" b="1"/>
            </a:pPr>
            <a:endParaRPr lang="en-US"/>
          </a:p>
        </c:txPr>
        <c:crossAx val="162591104"/>
        <c:crosses val="autoZero"/>
        <c:auto val="1"/>
        <c:lblAlgn val="ctr"/>
        <c:lblOffset val="100"/>
        <c:noMultiLvlLbl val="0"/>
      </c:catAx>
      <c:valAx>
        <c:axId val="162591104"/>
        <c:scaling>
          <c:orientation val="minMax"/>
          <c:max val="45"/>
        </c:scaling>
        <c:delete val="0"/>
        <c:axPos val="l"/>
        <c:majorGridlines/>
        <c:title>
          <c:tx>
            <c:rich>
              <a:bodyPr rot="0" vert="horz"/>
              <a:lstStyle/>
              <a:p>
                <a:pPr>
                  <a:defRPr/>
                </a:pPr>
                <a:r>
                  <a:rPr lang="en-NZ"/>
                  <a:t>Months</a:t>
                </a:r>
              </a:p>
            </c:rich>
          </c:tx>
          <c:layout>
            <c:manualLayout>
              <c:xMode val="edge"/>
              <c:yMode val="edge"/>
              <c:x val="0"/>
              <c:y val="2.5441629530800352E-2"/>
            </c:manualLayout>
          </c:layout>
          <c:overlay val="0"/>
        </c:title>
        <c:numFmt formatCode="0" sourceLinked="1"/>
        <c:majorTickMark val="out"/>
        <c:minorTickMark val="none"/>
        <c:tickLblPos val="nextTo"/>
        <c:txPr>
          <a:bodyPr/>
          <a:lstStyle/>
          <a:p>
            <a:pPr>
              <a:defRPr sz="1200" b="1"/>
            </a:pPr>
            <a:endParaRPr lang="en-US"/>
          </a:p>
        </c:txPr>
        <c:crossAx val="162584832"/>
        <c:crosses val="autoZero"/>
        <c:crossBetween val="between"/>
      </c:valAx>
      <c:spPr>
        <a:ln>
          <a:solidFill>
            <a:schemeClr val="tx1">
              <a:lumMod val="50000"/>
              <a:lumOff val="50000"/>
            </a:schemeClr>
          </a:solidFill>
        </a:ln>
      </c:spPr>
    </c:plotArea>
    <c:plotVisOnly val="1"/>
    <c:dispBlanksAs val="gap"/>
    <c:showDLblsOverMax val="0"/>
  </c:chart>
  <c:spPr>
    <a:ln>
      <a:noFill/>
    </a:ln>
  </c:spPr>
  <c:printSettings>
    <c:headerFooter/>
    <c:pageMargins b="0.75" l="0.7" r="0.7" t="0.75" header="0.3" footer="0.3"/>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Very heavy</a:t>
            </a:r>
            <a:r>
              <a:rPr lang="en-NZ" baseline="0"/>
              <a:t> </a:t>
            </a:r>
            <a:r>
              <a:rPr lang="en-NZ"/>
              <a:t>fouling</a:t>
            </a:r>
          </a:p>
        </c:rich>
      </c:tx>
      <c:overlay val="1"/>
    </c:title>
    <c:autoTitleDeleted val="0"/>
    <c:plotArea>
      <c:layout>
        <c:manualLayout>
          <c:layoutTarget val="inner"/>
          <c:xMode val="edge"/>
          <c:yMode val="edge"/>
          <c:x val="4.2333148376378915E-2"/>
          <c:y val="6.7570451073866583E-2"/>
          <c:w val="0.90452967041390997"/>
          <c:h val="0.88680592162434546"/>
        </c:manualLayout>
      </c:layout>
      <c:barChart>
        <c:barDir val="col"/>
        <c:grouping val="stacked"/>
        <c:varyColors val="0"/>
        <c:ser>
          <c:idx val="0"/>
          <c:order val="0"/>
          <c:tx>
            <c:strRef>
              <c:f>'Boat owner survey results'!$E$103</c:f>
              <c:strCache>
                <c:ptCount val="1"/>
                <c:pt idx="0">
                  <c:v>5th percentile</c:v>
                </c:pt>
              </c:strCache>
            </c:strRef>
          </c:tx>
          <c:spPr>
            <a:noFill/>
            <a:ln>
              <a:noFill/>
            </a:ln>
          </c:spPr>
          <c:invertIfNegative val="0"/>
          <c:cat>
            <c:strRef>
              <c:f>'Boat owner survey results'!$L$102:$N$102</c:f>
              <c:strCache>
                <c:ptCount val="3"/>
                <c:pt idx="0">
                  <c:v>Antifoul</c:v>
                </c:pt>
                <c:pt idx="1">
                  <c:v>Lift and wash</c:v>
                </c:pt>
                <c:pt idx="2">
                  <c:v>Soft cloth clean in water</c:v>
                </c:pt>
              </c:strCache>
            </c:strRef>
          </c:cat>
          <c:val>
            <c:numRef>
              <c:f>'Boat owner survey results'!$L$103:$N$103</c:f>
              <c:numCache>
                <c:formatCode>0</c:formatCode>
                <c:ptCount val="3"/>
                <c:pt idx="0">
                  <c:v>12</c:v>
                </c:pt>
                <c:pt idx="1">
                  <c:v>4.4000000000000004</c:v>
                </c:pt>
                <c:pt idx="2">
                  <c:v>0.88750000000000007</c:v>
                </c:pt>
              </c:numCache>
            </c:numRef>
          </c:val>
          <c:extLst>
            <c:ext xmlns:c16="http://schemas.microsoft.com/office/drawing/2014/chart" uri="{C3380CC4-5D6E-409C-BE32-E72D297353CC}">
              <c16:uniqueId val="{00000000-E08D-407F-A915-A9219CC6246F}"/>
            </c:ext>
          </c:extLst>
        </c:ser>
        <c:ser>
          <c:idx val="1"/>
          <c:order val="1"/>
          <c:tx>
            <c:strRef>
              <c:f>'Boat owner survey results'!$E$104</c:f>
              <c:strCache>
                <c:ptCount val="1"/>
                <c:pt idx="0">
                  <c:v>First quartile</c:v>
                </c:pt>
              </c:strCache>
            </c:strRef>
          </c:tx>
          <c:spPr>
            <a:blipFill>
              <a:blip xmlns:r="http://schemas.openxmlformats.org/officeDocument/2006/relationships" r:embed="rId1"/>
              <a:stretch>
                <a:fillRect/>
              </a:stretch>
            </a:blipFill>
          </c:spPr>
          <c:invertIfNegative val="0"/>
          <c:cat>
            <c:strRef>
              <c:f>'Boat owner survey results'!$L$102:$N$102</c:f>
              <c:strCache>
                <c:ptCount val="3"/>
                <c:pt idx="0">
                  <c:v>Antifoul</c:v>
                </c:pt>
                <c:pt idx="1">
                  <c:v>Lift and wash</c:v>
                </c:pt>
                <c:pt idx="2">
                  <c:v>Soft cloth clean in water</c:v>
                </c:pt>
              </c:strCache>
            </c:strRef>
          </c:cat>
          <c:val>
            <c:numRef>
              <c:f>'Boat owner survey results'!$L$104:$N$104</c:f>
              <c:numCache>
                <c:formatCode>0</c:formatCode>
                <c:ptCount val="3"/>
                <c:pt idx="0">
                  <c:v>12</c:v>
                </c:pt>
                <c:pt idx="1">
                  <c:v>2.5999999999999996</c:v>
                </c:pt>
                <c:pt idx="2">
                  <c:v>2.1124999999999998</c:v>
                </c:pt>
              </c:numCache>
            </c:numRef>
          </c:val>
          <c:extLst>
            <c:ext xmlns:c16="http://schemas.microsoft.com/office/drawing/2014/chart" uri="{C3380CC4-5D6E-409C-BE32-E72D297353CC}">
              <c16:uniqueId val="{00000001-E08D-407F-A915-A9219CC6246F}"/>
            </c:ext>
          </c:extLst>
        </c:ser>
        <c:ser>
          <c:idx val="2"/>
          <c:order val="2"/>
          <c:tx>
            <c:strRef>
              <c:f>'Boat owner survey results'!$E$105</c:f>
              <c:strCache>
                <c:ptCount val="1"/>
                <c:pt idx="0">
                  <c:v>Second quartile</c:v>
                </c:pt>
              </c:strCache>
            </c:strRef>
          </c:tx>
          <c:spPr>
            <a:solidFill>
              <a:schemeClr val="accent1">
                <a:lumMod val="75000"/>
              </a:schemeClr>
            </a:solidFill>
            <a:ln>
              <a:solidFill>
                <a:schemeClr val="tx1">
                  <a:lumMod val="50000"/>
                  <a:lumOff val="50000"/>
                </a:schemeClr>
              </a:solidFill>
            </a:ln>
          </c:spPr>
          <c:invertIfNegative val="0"/>
          <c:cat>
            <c:strRef>
              <c:f>'Boat owner survey results'!$L$102:$N$102</c:f>
              <c:strCache>
                <c:ptCount val="3"/>
                <c:pt idx="0">
                  <c:v>Antifoul</c:v>
                </c:pt>
                <c:pt idx="1">
                  <c:v>Lift and wash</c:v>
                </c:pt>
                <c:pt idx="2">
                  <c:v>Soft cloth clean in water</c:v>
                </c:pt>
              </c:strCache>
            </c:strRef>
          </c:cat>
          <c:val>
            <c:numRef>
              <c:f>'Boat owner survey results'!$L$105:$N$105</c:f>
              <c:numCache>
                <c:formatCode>General</c:formatCode>
                <c:ptCount val="3"/>
                <c:pt idx="0">
                  <c:v>0</c:v>
                </c:pt>
                <c:pt idx="1">
                  <c:v>5</c:v>
                </c:pt>
                <c:pt idx="2">
                  <c:v>3</c:v>
                </c:pt>
              </c:numCache>
            </c:numRef>
          </c:val>
          <c:extLst>
            <c:ext xmlns:c16="http://schemas.microsoft.com/office/drawing/2014/chart" uri="{C3380CC4-5D6E-409C-BE32-E72D297353CC}">
              <c16:uniqueId val="{00000002-E08D-407F-A915-A9219CC6246F}"/>
            </c:ext>
          </c:extLst>
        </c:ser>
        <c:ser>
          <c:idx val="3"/>
          <c:order val="3"/>
          <c:tx>
            <c:strRef>
              <c:f>'Boat owner survey results'!$E$106</c:f>
              <c:strCache>
                <c:ptCount val="1"/>
                <c:pt idx="0">
                  <c:v>Third quartile</c:v>
                </c:pt>
              </c:strCache>
            </c:strRef>
          </c:tx>
          <c:spPr>
            <a:solidFill>
              <a:schemeClr val="accent1">
                <a:lumMod val="40000"/>
                <a:lumOff val="60000"/>
              </a:schemeClr>
            </a:solidFill>
            <a:ln>
              <a:solidFill>
                <a:schemeClr val="tx1">
                  <a:lumMod val="50000"/>
                  <a:lumOff val="50000"/>
                </a:schemeClr>
              </a:solidFill>
            </a:ln>
          </c:spPr>
          <c:invertIfNegative val="0"/>
          <c:cat>
            <c:strRef>
              <c:f>'Boat owner survey results'!$L$102:$N$102</c:f>
              <c:strCache>
                <c:ptCount val="3"/>
                <c:pt idx="0">
                  <c:v>Antifoul</c:v>
                </c:pt>
                <c:pt idx="1">
                  <c:v>Lift and wash</c:v>
                </c:pt>
                <c:pt idx="2">
                  <c:v>Soft cloth clean in water</c:v>
                </c:pt>
              </c:strCache>
            </c:strRef>
          </c:cat>
          <c:val>
            <c:numRef>
              <c:f>'Boat owner survey results'!$L$106:$N$106</c:f>
              <c:numCache>
                <c:formatCode>General</c:formatCode>
                <c:ptCount val="3"/>
                <c:pt idx="0">
                  <c:v>12</c:v>
                </c:pt>
                <c:pt idx="1">
                  <c:v>0</c:v>
                </c:pt>
                <c:pt idx="2">
                  <c:v>6</c:v>
                </c:pt>
              </c:numCache>
            </c:numRef>
          </c:val>
          <c:extLst>
            <c:ext xmlns:c16="http://schemas.microsoft.com/office/drawing/2014/chart" uri="{C3380CC4-5D6E-409C-BE32-E72D297353CC}">
              <c16:uniqueId val="{00000003-E08D-407F-A915-A9219CC6246F}"/>
            </c:ext>
          </c:extLst>
        </c:ser>
        <c:ser>
          <c:idx val="4"/>
          <c:order val="4"/>
          <c:tx>
            <c:strRef>
              <c:f>'Boat owner survey results'!$E$107</c:f>
              <c:strCache>
                <c:ptCount val="1"/>
                <c:pt idx="0">
                  <c:v>95th percentile</c:v>
                </c:pt>
              </c:strCache>
            </c:strRef>
          </c:tx>
          <c:spPr>
            <a:blipFill dpi="0" rotWithShape="1">
              <a:blip xmlns:r="http://schemas.openxmlformats.org/officeDocument/2006/relationships" r:embed="rId1"/>
              <a:srcRect/>
              <a:stretch>
                <a:fillRect/>
              </a:stretch>
            </a:blipFill>
          </c:spPr>
          <c:invertIfNegative val="0"/>
          <c:cat>
            <c:strRef>
              <c:f>'Boat owner survey results'!$L$102:$N$102</c:f>
              <c:strCache>
                <c:ptCount val="3"/>
                <c:pt idx="0">
                  <c:v>Antifoul</c:v>
                </c:pt>
                <c:pt idx="1">
                  <c:v>Lift and wash</c:v>
                </c:pt>
                <c:pt idx="2">
                  <c:v>Soft cloth clean in water</c:v>
                </c:pt>
              </c:strCache>
            </c:strRef>
          </c:cat>
          <c:val>
            <c:numRef>
              <c:f>'Boat owner survey results'!$L$107:$N$107</c:f>
              <c:numCache>
                <c:formatCode>0</c:formatCode>
                <c:ptCount val="3"/>
                <c:pt idx="0">
                  <c:v>7.8000000000000256</c:v>
                </c:pt>
                <c:pt idx="1">
                  <c:v>16.799999999999983</c:v>
                </c:pt>
                <c:pt idx="2">
                  <c:v>12.899999999999991</c:v>
                </c:pt>
              </c:numCache>
            </c:numRef>
          </c:val>
          <c:extLst>
            <c:ext xmlns:c16="http://schemas.microsoft.com/office/drawing/2014/chart" uri="{C3380CC4-5D6E-409C-BE32-E72D297353CC}">
              <c16:uniqueId val="{00000004-E08D-407F-A915-A9219CC6246F}"/>
            </c:ext>
          </c:extLst>
        </c:ser>
        <c:dLbls>
          <c:showLegendKey val="0"/>
          <c:showVal val="0"/>
          <c:showCatName val="0"/>
          <c:showSerName val="0"/>
          <c:showPercent val="0"/>
          <c:showBubbleSize val="0"/>
        </c:dLbls>
        <c:gapWidth val="150"/>
        <c:overlap val="100"/>
        <c:axId val="162663424"/>
        <c:axId val="162673792"/>
      </c:barChart>
      <c:lineChart>
        <c:grouping val="standard"/>
        <c:varyColors val="0"/>
        <c:ser>
          <c:idx val="5"/>
          <c:order val="5"/>
          <c:tx>
            <c:strRef>
              <c:f>'Boat owner survey results'!$E$108</c:f>
              <c:strCache>
                <c:ptCount val="1"/>
                <c:pt idx="0">
                  <c:v>Mean</c:v>
                </c:pt>
              </c:strCache>
            </c:strRef>
          </c:tx>
          <c:spPr>
            <a:ln>
              <a:noFill/>
            </a:ln>
          </c:spPr>
          <c:marker>
            <c:symbol val="circle"/>
            <c:size val="13"/>
            <c:spPr>
              <a:solidFill>
                <a:schemeClr val="tx1"/>
              </a:solidFill>
              <a:ln>
                <a:solidFill>
                  <a:schemeClr val="tx1"/>
                </a:solidFill>
              </a:ln>
            </c:spPr>
          </c:marker>
          <c:cat>
            <c:strRef>
              <c:f>'Boat owner survey results'!$L$102:$N$102</c:f>
              <c:strCache>
                <c:ptCount val="3"/>
                <c:pt idx="0">
                  <c:v>Antifoul</c:v>
                </c:pt>
                <c:pt idx="1">
                  <c:v>Lift and wash</c:v>
                </c:pt>
                <c:pt idx="2">
                  <c:v>Soft cloth clean in water</c:v>
                </c:pt>
              </c:strCache>
            </c:strRef>
          </c:cat>
          <c:val>
            <c:numRef>
              <c:f>'Boat owner survey results'!$L$108:$N$108</c:f>
              <c:numCache>
                <c:formatCode>0</c:formatCode>
                <c:ptCount val="3"/>
                <c:pt idx="0">
                  <c:v>28.46153846153846</c:v>
                </c:pt>
                <c:pt idx="1">
                  <c:v>12.76</c:v>
                </c:pt>
                <c:pt idx="2">
                  <c:v>8.0694444444444446</c:v>
                </c:pt>
              </c:numCache>
            </c:numRef>
          </c:val>
          <c:smooth val="0"/>
          <c:extLst>
            <c:ext xmlns:c16="http://schemas.microsoft.com/office/drawing/2014/chart" uri="{C3380CC4-5D6E-409C-BE32-E72D297353CC}">
              <c16:uniqueId val="{00000005-E08D-407F-A915-A9219CC6246F}"/>
            </c:ext>
          </c:extLst>
        </c:ser>
        <c:dLbls>
          <c:showLegendKey val="0"/>
          <c:showVal val="0"/>
          <c:showCatName val="0"/>
          <c:showSerName val="0"/>
          <c:showPercent val="0"/>
          <c:showBubbleSize val="0"/>
        </c:dLbls>
        <c:marker val="1"/>
        <c:smooth val="0"/>
        <c:axId val="162663424"/>
        <c:axId val="162673792"/>
      </c:lineChart>
      <c:catAx>
        <c:axId val="162663424"/>
        <c:scaling>
          <c:orientation val="minMax"/>
        </c:scaling>
        <c:delete val="0"/>
        <c:axPos val="b"/>
        <c:numFmt formatCode="General" sourceLinked="0"/>
        <c:majorTickMark val="out"/>
        <c:minorTickMark val="none"/>
        <c:tickLblPos val="nextTo"/>
        <c:txPr>
          <a:bodyPr/>
          <a:lstStyle/>
          <a:p>
            <a:pPr>
              <a:defRPr sz="1400" b="1"/>
            </a:pPr>
            <a:endParaRPr lang="en-US"/>
          </a:p>
        </c:txPr>
        <c:crossAx val="162673792"/>
        <c:crosses val="autoZero"/>
        <c:auto val="1"/>
        <c:lblAlgn val="ctr"/>
        <c:lblOffset val="100"/>
        <c:noMultiLvlLbl val="0"/>
      </c:catAx>
      <c:valAx>
        <c:axId val="162673792"/>
        <c:scaling>
          <c:orientation val="minMax"/>
          <c:max val="45"/>
        </c:scaling>
        <c:delete val="0"/>
        <c:axPos val="l"/>
        <c:majorGridlines/>
        <c:title>
          <c:tx>
            <c:rich>
              <a:bodyPr rot="0" vert="horz"/>
              <a:lstStyle/>
              <a:p>
                <a:pPr>
                  <a:defRPr/>
                </a:pPr>
                <a:r>
                  <a:rPr lang="en-NZ"/>
                  <a:t>Months</a:t>
                </a:r>
              </a:p>
            </c:rich>
          </c:tx>
          <c:layout>
            <c:manualLayout>
              <c:xMode val="edge"/>
              <c:yMode val="edge"/>
              <c:x val="0"/>
              <c:y val="2.5441629530800352E-2"/>
            </c:manualLayout>
          </c:layout>
          <c:overlay val="0"/>
        </c:title>
        <c:numFmt formatCode="0" sourceLinked="1"/>
        <c:majorTickMark val="out"/>
        <c:minorTickMark val="none"/>
        <c:tickLblPos val="nextTo"/>
        <c:txPr>
          <a:bodyPr/>
          <a:lstStyle/>
          <a:p>
            <a:pPr>
              <a:defRPr sz="1200" b="1"/>
            </a:pPr>
            <a:endParaRPr lang="en-US"/>
          </a:p>
        </c:txPr>
        <c:crossAx val="162663424"/>
        <c:crosses val="autoZero"/>
        <c:crossBetween val="between"/>
      </c:valAx>
      <c:spPr>
        <a:ln>
          <a:solidFill>
            <a:schemeClr val="tx1">
              <a:lumMod val="50000"/>
              <a:lumOff val="50000"/>
            </a:schemeClr>
          </a:solidFill>
        </a:ln>
      </c:spPr>
    </c:plotArea>
    <c:plotVisOnly val="1"/>
    <c:dispBlanksAs val="gap"/>
    <c:showDLblsOverMax val="0"/>
  </c:chart>
  <c:spPr>
    <a:ln>
      <a:noFill/>
    </a:ln>
  </c:spPr>
  <c:printSettings>
    <c:headerFooter/>
    <c:pageMargins b="0.75" l="0.7" r="0.7" t="0.75" header="0.3" footer="0.3"/>
    <c:pageSetup paperSize="9" orientation="landscape"/>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38100</xdr:rowOff>
    </xdr:from>
    <xdr:to>
      <xdr:col>9</xdr:col>
      <xdr:colOff>600074</xdr:colOff>
      <xdr:row>35</xdr:row>
      <xdr:rowOff>180975</xdr:rowOff>
    </xdr:to>
    <xdr:graphicFrame macro="">
      <xdr:nvGraphicFramePr>
        <xdr:cNvPr id="3" name="Chart 2">
          <a:extLst>
            <a:ext uri="{FF2B5EF4-FFF2-40B4-BE49-F238E27FC236}">
              <a16:creationId xmlns:a16="http://schemas.microsoft.com/office/drawing/2014/main" id="{2742DA1B-072F-41E8-B30E-FA1881C0D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2</xdr:row>
      <xdr:rowOff>33337</xdr:rowOff>
    </xdr:from>
    <xdr:to>
      <xdr:col>11</xdr:col>
      <xdr:colOff>581024</xdr:colOff>
      <xdr:row>25</xdr:row>
      <xdr:rowOff>180975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xdr:row>
      <xdr:rowOff>0</xdr:rowOff>
    </xdr:from>
    <xdr:to>
      <xdr:col>23</xdr:col>
      <xdr:colOff>533399</xdr:colOff>
      <xdr:row>25</xdr:row>
      <xdr:rowOff>147638</xdr:rowOff>
    </xdr:to>
    <xdr:graphicFrame macro="">
      <xdr:nvGraphicFramePr>
        <xdr:cNvPr id="8" name="Chart 7">
          <a:extLst>
            <a:ext uri="{FF2B5EF4-FFF2-40B4-BE49-F238E27FC236}">
              <a16:creationId xmlns:a16="http://schemas.microsoft.com/office/drawing/2014/main" id="{65394AFD-853E-4EBA-9B3B-9C8C9A3BEF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xdr:colOff>
      <xdr:row>124</xdr:row>
      <xdr:rowOff>51196</xdr:rowOff>
    </xdr:from>
    <xdr:to>
      <xdr:col>12</xdr:col>
      <xdr:colOff>809626</xdr:colOff>
      <xdr:row>160</xdr:row>
      <xdr:rowOff>166688</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164</xdr:row>
      <xdr:rowOff>0</xdr:rowOff>
    </xdr:from>
    <xdr:to>
      <xdr:col>12</xdr:col>
      <xdr:colOff>762001</xdr:colOff>
      <xdr:row>200</xdr:row>
      <xdr:rowOff>115492</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11907</xdr:colOff>
      <xdr:row>163</xdr:row>
      <xdr:rowOff>35719</xdr:rowOff>
    </xdr:from>
    <xdr:to>
      <xdr:col>25</xdr:col>
      <xdr:colOff>392908</xdr:colOff>
      <xdr:row>199</xdr:row>
      <xdr:rowOff>151211</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23812</xdr:colOff>
      <xdr:row>163</xdr:row>
      <xdr:rowOff>35719</xdr:rowOff>
    </xdr:from>
    <xdr:to>
      <xdr:col>39</xdr:col>
      <xdr:colOff>511969</xdr:colOff>
      <xdr:row>199</xdr:row>
      <xdr:rowOff>151211</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124</xdr:row>
      <xdr:rowOff>0</xdr:rowOff>
    </xdr:from>
    <xdr:to>
      <xdr:col>25</xdr:col>
      <xdr:colOff>381001</xdr:colOff>
      <xdr:row>160</xdr:row>
      <xdr:rowOff>115492</xdr:rowOff>
    </xdr:to>
    <xdr:graphicFrame macro="">
      <xdr:nvGraphicFramePr>
        <xdr:cNvPr id="8" name="Chart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35719</xdr:colOff>
      <xdr:row>124</xdr:row>
      <xdr:rowOff>35719</xdr:rowOff>
    </xdr:from>
    <xdr:to>
      <xdr:col>39</xdr:col>
      <xdr:colOff>523876</xdr:colOff>
      <xdr:row>160</xdr:row>
      <xdr:rowOff>151211</xdr:rowOff>
    </xdr:to>
    <xdr:graphicFrame macro="">
      <xdr:nvGraphicFramePr>
        <xdr:cNvPr id="10" name="Chart 9">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0.33997</cdr:x>
      <cdr:y>0.11047</cdr:y>
    </cdr:from>
    <cdr:to>
      <cdr:x>0.62481</cdr:x>
      <cdr:y>0.32559</cdr:y>
    </cdr:to>
    <cdr:sp macro="" textlink="">
      <cdr:nvSpPr>
        <cdr:cNvPr id="2" name="TextBox 1"/>
        <cdr:cNvSpPr txBox="1"/>
      </cdr:nvSpPr>
      <cdr:spPr>
        <a:xfrm xmlns:a="http://schemas.openxmlformats.org/drawingml/2006/main">
          <a:off x="2643188" y="770335"/>
          <a:ext cx="2214562" cy="15001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0.55743</cdr:x>
      <cdr:y>0.61755</cdr:y>
    </cdr:from>
    <cdr:to>
      <cdr:x>0.71975</cdr:x>
      <cdr:y>0.65341</cdr:y>
    </cdr:to>
    <cdr:sp macro="" textlink="">
      <cdr:nvSpPr>
        <cdr:cNvPr id="3" name="TextBox 2"/>
        <cdr:cNvSpPr txBox="1"/>
      </cdr:nvSpPr>
      <cdr:spPr>
        <a:xfrm xmlns:a="http://schemas.openxmlformats.org/drawingml/2006/main">
          <a:off x="4333908" y="4306486"/>
          <a:ext cx="1262003" cy="2500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95th percentile</a:t>
          </a:r>
        </a:p>
      </cdr:txBody>
    </cdr:sp>
  </cdr:relSizeAnchor>
  <cdr:relSizeAnchor xmlns:cdr="http://schemas.openxmlformats.org/drawingml/2006/chartDrawing">
    <cdr:from>
      <cdr:x>0.55784</cdr:x>
      <cdr:y>0.7073</cdr:y>
    </cdr:from>
    <cdr:to>
      <cdr:x>0.72016</cdr:x>
      <cdr:y>0.74315</cdr:y>
    </cdr:to>
    <cdr:sp macro="" textlink="">
      <cdr:nvSpPr>
        <cdr:cNvPr id="4" name="TextBox 1"/>
        <cdr:cNvSpPr txBox="1"/>
      </cdr:nvSpPr>
      <cdr:spPr>
        <a:xfrm xmlns:a="http://schemas.openxmlformats.org/drawingml/2006/main">
          <a:off x="4337084" y="4932378"/>
          <a:ext cx="1262003" cy="250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Third quartile</a:t>
          </a:r>
        </a:p>
      </cdr:txBody>
    </cdr:sp>
  </cdr:relSizeAnchor>
  <cdr:relSizeAnchor xmlns:cdr="http://schemas.openxmlformats.org/drawingml/2006/chartDrawing">
    <cdr:from>
      <cdr:x>0.55478</cdr:x>
      <cdr:y>0.9139</cdr:y>
    </cdr:from>
    <cdr:to>
      <cdr:x>0.7171</cdr:x>
      <cdr:y>0.94975</cdr:y>
    </cdr:to>
    <cdr:sp macro="" textlink="">
      <cdr:nvSpPr>
        <cdr:cNvPr id="5" name="TextBox 1"/>
        <cdr:cNvSpPr txBox="1"/>
      </cdr:nvSpPr>
      <cdr:spPr>
        <a:xfrm xmlns:a="http://schemas.openxmlformats.org/drawingml/2006/main">
          <a:off x="4313271" y="6373052"/>
          <a:ext cx="1262003" cy="2499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5th percentile</a:t>
          </a:r>
        </a:p>
      </cdr:txBody>
    </cdr:sp>
  </cdr:relSizeAnchor>
  <cdr:relSizeAnchor xmlns:cdr="http://schemas.openxmlformats.org/drawingml/2006/chartDrawing">
    <cdr:from>
      <cdr:x>0.55783</cdr:x>
      <cdr:y>0.86779</cdr:y>
    </cdr:from>
    <cdr:to>
      <cdr:x>0.72016</cdr:x>
      <cdr:y>0.90364</cdr:y>
    </cdr:to>
    <cdr:sp macro="" textlink="">
      <cdr:nvSpPr>
        <cdr:cNvPr id="6" name="TextBox 1"/>
        <cdr:cNvSpPr txBox="1"/>
      </cdr:nvSpPr>
      <cdr:spPr>
        <a:xfrm xmlns:a="http://schemas.openxmlformats.org/drawingml/2006/main">
          <a:off x="4337017" y="6051547"/>
          <a:ext cx="1262081" cy="250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First quartile</a:t>
          </a:r>
        </a:p>
      </cdr:txBody>
    </cdr:sp>
  </cdr:relSizeAnchor>
  <cdr:relSizeAnchor xmlns:cdr="http://schemas.openxmlformats.org/drawingml/2006/chartDrawing">
    <cdr:from>
      <cdr:x>0.56243</cdr:x>
      <cdr:y>0.81657</cdr:y>
    </cdr:from>
    <cdr:to>
      <cdr:x>0.72475</cdr:x>
      <cdr:y>0.85243</cdr:y>
    </cdr:to>
    <cdr:sp macro="" textlink="">
      <cdr:nvSpPr>
        <cdr:cNvPr id="7" name="TextBox 1"/>
        <cdr:cNvSpPr txBox="1"/>
      </cdr:nvSpPr>
      <cdr:spPr>
        <a:xfrm xmlns:a="http://schemas.openxmlformats.org/drawingml/2006/main">
          <a:off x="4372802" y="5694354"/>
          <a:ext cx="1262003" cy="2500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Median</a:t>
          </a:r>
        </a:p>
      </cdr:txBody>
    </cdr:sp>
  </cdr:relSizeAnchor>
  <cdr:relSizeAnchor xmlns:cdr="http://schemas.openxmlformats.org/drawingml/2006/chartDrawing">
    <cdr:from>
      <cdr:x>0.55784</cdr:x>
      <cdr:y>0.77389</cdr:y>
    </cdr:from>
    <cdr:to>
      <cdr:x>0.72016</cdr:x>
      <cdr:y>0.80975</cdr:y>
    </cdr:to>
    <cdr:sp macro="" textlink="">
      <cdr:nvSpPr>
        <cdr:cNvPr id="8" name="TextBox 1"/>
        <cdr:cNvSpPr txBox="1"/>
      </cdr:nvSpPr>
      <cdr:spPr>
        <a:xfrm xmlns:a="http://schemas.openxmlformats.org/drawingml/2006/main">
          <a:off x="4337050" y="5396705"/>
          <a:ext cx="1262003" cy="2500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Mean</a:t>
          </a:r>
        </a:p>
      </cdr:txBody>
    </cdr:sp>
  </cdr:relSizeAnchor>
</c:userShapes>
</file>

<file path=xl/drawings/drawing5.xml><?xml version="1.0" encoding="utf-8"?>
<c:userShapes xmlns:c="http://schemas.openxmlformats.org/drawingml/2006/chart">
  <cdr:relSizeAnchor xmlns:cdr="http://schemas.openxmlformats.org/drawingml/2006/chartDrawing">
    <cdr:from>
      <cdr:x>0.33997</cdr:x>
      <cdr:y>0.11047</cdr:y>
    </cdr:from>
    <cdr:to>
      <cdr:x>0.62481</cdr:x>
      <cdr:y>0.32559</cdr:y>
    </cdr:to>
    <cdr:sp macro="" textlink="">
      <cdr:nvSpPr>
        <cdr:cNvPr id="2" name="TextBox 1"/>
        <cdr:cNvSpPr txBox="1"/>
      </cdr:nvSpPr>
      <cdr:spPr>
        <a:xfrm xmlns:a="http://schemas.openxmlformats.org/drawingml/2006/main">
          <a:off x="2643188" y="770335"/>
          <a:ext cx="2214562" cy="15001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0.60031</cdr:x>
      <cdr:y>0.06778</cdr:y>
    </cdr:from>
    <cdr:to>
      <cdr:x>0.74119</cdr:x>
      <cdr:y>0.10756</cdr:y>
    </cdr:to>
    <cdr:sp macro="" textlink="">
      <cdr:nvSpPr>
        <cdr:cNvPr id="3" name="TextBox 2"/>
        <cdr:cNvSpPr txBox="1"/>
      </cdr:nvSpPr>
      <cdr:spPr>
        <a:xfrm xmlns:a="http://schemas.openxmlformats.org/drawingml/2006/main">
          <a:off x="4667283" y="472673"/>
          <a:ext cx="1095342" cy="2774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95th percentile</a:t>
          </a:r>
        </a:p>
      </cdr:txBody>
    </cdr:sp>
  </cdr:relSizeAnchor>
  <cdr:relSizeAnchor xmlns:cdr="http://schemas.openxmlformats.org/drawingml/2006/chartDrawing">
    <cdr:from>
      <cdr:x>0.60838</cdr:x>
      <cdr:y>0.22071</cdr:y>
    </cdr:from>
    <cdr:to>
      <cdr:x>0.73966</cdr:x>
      <cdr:y>0.2544</cdr:y>
    </cdr:to>
    <cdr:sp macro="" textlink="">
      <cdr:nvSpPr>
        <cdr:cNvPr id="4" name="TextBox 1"/>
        <cdr:cNvSpPr txBox="1"/>
      </cdr:nvSpPr>
      <cdr:spPr>
        <a:xfrm xmlns:a="http://schemas.openxmlformats.org/drawingml/2006/main">
          <a:off x="4729991" y="1539096"/>
          <a:ext cx="1020728" cy="2349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Third quartile</a:t>
          </a:r>
        </a:p>
      </cdr:txBody>
    </cdr:sp>
  </cdr:relSizeAnchor>
  <cdr:relSizeAnchor xmlns:cdr="http://schemas.openxmlformats.org/drawingml/2006/chartDrawing">
    <cdr:from>
      <cdr:x>0.59459</cdr:x>
      <cdr:y>0.69536</cdr:y>
    </cdr:from>
    <cdr:to>
      <cdr:x>0.7366</cdr:x>
      <cdr:y>0.72733</cdr:y>
    </cdr:to>
    <cdr:sp macro="" textlink="">
      <cdr:nvSpPr>
        <cdr:cNvPr id="5" name="TextBox 1"/>
        <cdr:cNvSpPr txBox="1"/>
      </cdr:nvSpPr>
      <cdr:spPr>
        <a:xfrm xmlns:a="http://schemas.openxmlformats.org/drawingml/2006/main">
          <a:off x="4622835" y="4849054"/>
          <a:ext cx="1104072" cy="2230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5th percentile</a:t>
          </a:r>
        </a:p>
      </cdr:txBody>
    </cdr:sp>
  </cdr:relSizeAnchor>
  <cdr:relSizeAnchor xmlns:cdr="http://schemas.openxmlformats.org/drawingml/2006/chartDrawing">
    <cdr:from>
      <cdr:x>0.61296</cdr:x>
      <cdr:y>0.46656</cdr:y>
    </cdr:from>
    <cdr:to>
      <cdr:x>0.7366</cdr:x>
      <cdr:y>0.50196</cdr:y>
    </cdr:to>
    <cdr:sp macro="" textlink="">
      <cdr:nvSpPr>
        <cdr:cNvPr id="6" name="TextBox 1"/>
        <cdr:cNvSpPr txBox="1"/>
      </cdr:nvSpPr>
      <cdr:spPr>
        <a:xfrm xmlns:a="http://schemas.openxmlformats.org/drawingml/2006/main">
          <a:off x="4765643" y="3253580"/>
          <a:ext cx="961264" cy="2468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First quartile</a:t>
          </a:r>
        </a:p>
      </cdr:txBody>
    </cdr:sp>
  </cdr:relSizeAnchor>
  <cdr:relSizeAnchor xmlns:cdr="http://schemas.openxmlformats.org/drawingml/2006/chartDrawing">
    <cdr:from>
      <cdr:x>0.61756</cdr:x>
      <cdr:y>0.44437</cdr:y>
    </cdr:from>
    <cdr:to>
      <cdr:x>0.73048</cdr:x>
      <cdr:y>0.47977</cdr:y>
    </cdr:to>
    <cdr:sp macro="" textlink="">
      <cdr:nvSpPr>
        <cdr:cNvPr id="7" name="TextBox 1"/>
        <cdr:cNvSpPr txBox="1"/>
      </cdr:nvSpPr>
      <cdr:spPr>
        <a:xfrm xmlns:a="http://schemas.openxmlformats.org/drawingml/2006/main">
          <a:off x="4801430" y="3098791"/>
          <a:ext cx="877854" cy="2468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Median</a:t>
          </a:r>
        </a:p>
      </cdr:txBody>
    </cdr:sp>
  </cdr:relSizeAnchor>
  <cdr:relSizeAnchor xmlns:cdr="http://schemas.openxmlformats.org/drawingml/2006/chartDrawing">
    <cdr:from>
      <cdr:x>0.63247</cdr:x>
      <cdr:y>0.37266</cdr:y>
    </cdr:from>
    <cdr:to>
      <cdr:x>0.7366</cdr:x>
      <cdr:y>0.40464</cdr:y>
    </cdr:to>
    <cdr:sp macro="" textlink="">
      <cdr:nvSpPr>
        <cdr:cNvPr id="8" name="TextBox 1"/>
        <cdr:cNvSpPr txBox="1"/>
      </cdr:nvSpPr>
      <cdr:spPr>
        <a:xfrm xmlns:a="http://schemas.openxmlformats.org/drawingml/2006/main">
          <a:off x="4917343" y="2598746"/>
          <a:ext cx="809564" cy="2230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Mean</a:t>
          </a:r>
        </a:p>
      </cdr:txBody>
    </cdr:sp>
  </cdr:relSizeAnchor>
</c:userShapes>
</file>

<file path=xl/drawings/drawing6.xml><?xml version="1.0" encoding="utf-8"?>
<c:userShapes xmlns:c="http://schemas.openxmlformats.org/drawingml/2006/chart">
  <cdr:relSizeAnchor xmlns:cdr="http://schemas.openxmlformats.org/drawingml/2006/chartDrawing">
    <cdr:from>
      <cdr:x>0.33997</cdr:x>
      <cdr:y>0.11047</cdr:y>
    </cdr:from>
    <cdr:to>
      <cdr:x>0.62481</cdr:x>
      <cdr:y>0.32559</cdr:y>
    </cdr:to>
    <cdr:sp macro="" textlink="">
      <cdr:nvSpPr>
        <cdr:cNvPr id="2" name="TextBox 1"/>
        <cdr:cNvSpPr txBox="1"/>
      </cdr:nvSpPr>
      <cdr:spPr>
        <a:xfrm xmlns:a="http://schemas.openxmlformats.org/drawingml/2006/main">
          <a:off x="2643188" y="770335"/>
          <a:ext cx="2214562" cy="15001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0.25881</cdr:x>
      <cdr:y>0.61414</cdr:y>
    </cdr:from>
    <cdr:to>
      <cdr:x>0.3997</cdr:x>
      <cdr:y>0.65392</cdr:y>
    </cdr:to>
    <cdr:sp macro="" textlink="">
      <cdr:nvSpPr>
        <cdr:cNvPr id="3" name="TextBox 2"/>
        <cdr:cNvSpPr txBox="1"/>
      </cdr:nvSpPr>
      <cdr:spPr>
        <a:xfrm xmlns:a="http://schemas.openxmlformats.org/drawingml/2006/main">
          <a:off x="2012157" y="4282703"/>
          <a:ext cx="1095389" cy="2774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95th percentile</a:t>
          </a:r>
        </a:p>
      </cdr:txBody>
    </cdr:sp>
  </cdr:relSizeAnchor>
  <cdr:relSizeAnchor xmlns:cdr="http://schemas.openxmlformats.org/drawingml/2006/chartDrawing">
    <cdr:from>
      <cdr:x>0.26228</cdr:x>
      <cdr:y>0.70389</cdr:y>
    </cdr:from>
    <cdr:to>
      <cdr:x>0.39357</cdr:x>
      <cdr:y>0.73758</cdr:y>
    </cdr:to>
    <cdr:sp macro="" textlink="">
      <cdr:nvSpPr>
        <cdr:cNvPr id="4" name="TextBox 1"/>
        <cdr:cNvSpPr txBox="1"/>
      </cdr:nvSpPr>
      <cdr:spPr>
        <a:xfrm xmlns:a="http://schemas.openxmlformats.org/drawingml/2006/main">
          <a:off x="2039191" y="4908572"/>
          <a:ext cx="1020751" cy="2349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Third quartile</a:t>
          </a:r>
        </a:p>
      </cdr:txBody>
    </cdr:sp>
  </cdr:relSizeAnchor>
  <cdr:relSizeAnchor xmlns:cdr="http://schemas.openxmlformats.org/drawingml/2006/chartDrawing">
    <cdr:from>
      <cdr:x>0.25462</cdr:x>
      <cdr:y>0.91561</cdr:y>
    </cdr:from>
    <cdr:to>
      <cdr:x>0.39663</cdr:x>
      <cdr:y>0.94759</cdr:y>
    </cdr:to>
    <cdr:sp macro="" textlink="">
      <cdr:nvSpPr>
        <cdr:cNvPr id="5" name="TextBox 1"/>
        <cdr:cNvSpPr txBox="1"/>
      </cdr:nvSpPr>
      <cdr:spPr>
        <a:xfrm xmlns:a="http://schemas.openxmlformats.org/drawingml/2006/main">
          <a:off x="1979647" y="6384968"/>
          <a:ext cx="1104097" cy="2230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5th percentile</a:t>
          </a:r>
        </a:p>
      </cdr:txBody>
    </cdr:sp>
  </cdr:relSizeAnchor>
  <cdr:relSizeAnchor xmlns:cdr="http://schemas.openxmlformats.org/drawingml/2006/chartDrawing">
    <cdr:from>
      <cdr:x>0.25615</cdr:x>
      <cdr:y>0.87292</cdr:y>
    </cdr:from>
    <cdr:to>
      <cdr:x>0.37978</cdr:x>
      <cdr:y>0.90832</cdr:y>
    </cdr:to>
    <cdr:sp macro="" textlink="">
      <cdr:nvSpPr>
        <cdr:cNvPr id="6" name="TextBox 1"/>
        <cdr:cNvSpPr txBox="1"/>
      </cdr:nvSpPr>
      <cdr:spPr>
        <a:xfrm xmlns:a="http://schemas.openxmlformats.org/drawingml/2006/main">
          <a:off x="1991521" y="6087272"/>
          <a:ext cx="961196" cy="2468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First quartile</a:t>
          </a:r>
        </a:p>
      </cdr:txBody>
    </cdr:sp>
  </cdr:relSizeAnchor>
  <cdr:relSizeAnchor xmlns:cdr="http://schemas.openxmlformats.org/drawingml/2006/chartDrawing">
    <cdr:from>
      <cdr:x>0.25922</cdr:x>
      <cdr:y>0.81828</cdr:y>
    </cdr:from>
    <cdr:to>
      <cdr:x>0.37213</cdr:x>
      <cdr:y>0.85368</cdr:y>
    </cdr:to>
    <cdr:sp macro="" textlink="">
      <cdr:nvSpPr>
        <cdr:cNvPr id="7" name="TextBox 1"/>
        <cdr:cNvSpPr txBox="1"/>
      </cdr:nvSpPr>
      <cdr:spPr>
        <a:xfrm xmlns:a="http://schemas.openxmlformats.org/drawingml/2006/main">
          <a:off x="2015389" y="5706241"/>
          <a:ext cx="877851" cy="2468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Median</a:t>
          </a:r>
        </a:p>
      </cdr:txBody>
    </cdr:sp>
  </cdr:relSizeAnchor>
  <cdr:relSizeAnchor xmlns:cdr="http://schemas.openxmlformats.org/drawingml/2006/chartDrawing">
    <cdr:from>
      <cdr:x>0.26647</cdr:x>
      <cdr:y>0.77048</cdr:y>
    </cdr:from>
    <cdr:to>
      <cdr:x>0.3706</cdr:x>
      <cdr:y>0.80246</cdr:y>
    </cdr:to>
    <cdr:sp macro="" textlink="">
      <cdr:nvSpPr>
        <cdr:cNvPr id="8" name="TextBox 1"/>
        <cdr:cNvSpPr txBox="1"/>
      </cdr:nvSpPr>
      <cdr:spPr>
        <a:xfrm xmlns:a="http://schemas.openxmlformats.org/drawingml/2006/main">
          <a:off x="2071733" y="5372933"/>
          <a:ext cx="809588" cy="2230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Mean</a:t>
          </a:r>
        </a:p>
      </cdr:txBody>
    </cdr:sp>
  </cdr:relSizeAnchor>
</c:userShapes>
</file>

<file path=xl/drawings/drawing7.xml><?xml version="1.0" encoding="utf-8"?>
<c:userShapes xmlns:c="http://schemas.openxmlformats.org/drawingml/2006/chart">
  <cdr:relSizeAnchor xmlns:cdr="http://schemas.openxmlformats.org/drawingml/2006/chartDrawing">
    <cdr:from>
      <cdr:x>0.33997</cdr:x>
      <cdr:y>0.11047</cdr:y>
    </cdr:from>
    <cdr:to>
      <cdr:x>0.62481</cdr:x>
      <cdr:y>0.32559</cdr:y>
    </cdr:to>
    <cdr:sp macro="" textlink="">
      <cdr:nvSpPr>
        <cdr:cNvPr id="2" name="TextBox 1"/>
        <cdr:cNvSpPr txBox="1"/>
      </cdr:nvSpPr>
      <cdr:spPr>
        <a:xfrm xmlns:a="http://schemas.openxmlformats.org/drawingml/2006/main">
          <a:off x="2643188" y="770335"/>
          <a:ext cx="2214562" cy="15001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0.58652</cdr:x>
      <cdr:y>0.44853</cdr:y>
    </cdr:from>
    <cdr:to>
      <cdr:x>0.72741</cdr:x>
      <cdr:y>0.48831</cdr:y>
    </cdr:to>
    <cdr:sp macro="" textlink="">
      <cdr:nvSpPr>
        <cdr:cNvPr id="3" name="TextBox 2"/>
        <cdr:cNvSpPr txBox="1"/>
      </cdr:nvSpPr>
      <cdr:spPr>
        <a:xfrm xmlns:a="http://schemas.openxmlformats.org/drawingml/2006/main">
          <a:off x="4560094" y="3127797"/>
          <a:ext cx="1095389" cy="2774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95th percentile</a:t>
          </a:r>
        </a:p>
      </cdr:txBody>
    </cdr:sp>
  </cdr:relSizeAnchor>
  <cdr:relSizeAnchor xmlns:cdr="http://schemas.openxmlformats.org/drawingml/2006/chartDrawing">
    <cdr:from>
      <cdr:x>0.61757</cdr:x>
      <cdr:y>0.7056</cdr:y>
    </cdr:from>
    <cdr:to>
      <cdr:x>0.74886</cdr:x>
      <cdr:y>0.73929</cdr:y>
    </cdr:to>
    <cdr:sp macro="" textlink="">
      <cdr:nvSpPr>
        <cdr:cNvPr id="4" name="TextBox 1"/>
        <cdr:cNvSpPr txBox="1"/>
      </cdr:nvSpPr>
      <cdr:spPr>
        <a:xfrm xmlns:a="http://schemas.openxmlformats.org/drawingml/2006/main">
          <a:off x="4801441" y="4920478"/>
          <a:ext cx="1020751" cy="2349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Third quartile</a:t>
          </a:r>
        </a:p>
      </cdr:txBody>
    </cdr:sp>
  </cdr:relSizeAnchor>
  <cdr:relSizeAnchor xmlns:cdr="http://schemas.openxmlformats.org/drawingml/2006/chartDrawing">
    <cdr:from>
      <cdr:x>0.62063</cdr:x>
      <cdr:y>0.92414</cdr:y>
    </cdr:from>
    <cdr:to>
      <cdr:x>0.76264</cdr:x>
      <cdr:y>0.95612</cdr:y>
    </cdr:to>
    <cdr:sp macro="" textlink="">
      <cdr:nvSpPr>
        <cdr:cNvPr id="5" name="TextBox 1"/>
        <cdr:cNvSpPr txBox="1"/>
      </cdr:nvSpPr>
      <cdr:spPr>
        <a:xfrm xmlns:a="http://schemas.openxmlformats.org/drawingml/2006/main">
          <a:off x="4825240" y="6444500"/>
          <a:ext cx="1104097" cy="2230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5th percentile</a:t>
          </a:r>
        </a:p>
      </cdr:txBody>
    </cdr:sp>
  </cdr:relSizeAnchor>
  <cdr:relSizeAnchor xmlns:cdr="http://schemas.openxmlformats.org/drawingml/2006/chartDrawing">
    <cdr:from>
      <cdr:x>0.6145</cdr:x>
      <cdr:y>0.87633</cdr:y>
    </cdr:from>
    <cdr:to>
      <cdr:x>0.73813</cdr:x>
      <cdr:y>0.91173</cdr:y>
    </cdr:to>
    <cdr:sp macro="" textlink="">
      <cdr:nvSpPr>
        <cdr:cNvPr id="6" name="TextBox 1"/>
        <cdr:cNvSpPr txBox="1"/>
      </cdr:nvSpPr>
      <cdr:spPr>
        <a:xfrm xmlns:a="http://schemas.openxmlformats.org/drawingml/2006/main">
          <a:off x="4777584" y="6111085"/>
          <a:ext cx="961196" cy="2468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First quartile</a:t>
          </a:r>
        </a:p>
      </cdr:txBody>
    </cdr:sp>
  </cdr:relSizeAnchor>
  <cdr:relSizeAnchor xmlns:cdr="http://schemas.openxmlformats.org/drawingml/2006/chartDrawing">
    <cdr:from>
      <cdr:x>0.62676</cdr:x>
      <cdr:y>0.81828</cdr:y>
    </cdr:from>
    <cdr:to>
      <cdr:x>0.73967</cdr:x>
      <cdr:y>0.85368</cdr:y>
    </cdr:to>
    <cdr:sp macro="" textlink="">
      <cdr:nvSpPr>
        <cdr:cNvPr id="7" name="TextBox 1"/>
        <cdr:cNvSpPr txBox="1"/>
      </cdr:nvSpPr>
      <cdr:spPr>
        <a:xfrm xmlns:a="http://schemas.openxmlformats.org/drawingml/2006/main">
          <a:off x="4872889" y="5706242"/>
          <a:ext cx="877851" cy="2468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Median</a:t>
          </a:r>
        </a:p>
      </cdr:txBody>
    </cdr:sp>
  </cdr:relSizeAnchor>
  <cdr:relSizeAnchor xmlns:cdr="http://schemas.openxmlformats.org/drawingml/2006/chartDrawing">
    <cdr:from>
      <cdr:x>0.62328</cdr:x>
      <cdr:y>0.77731</cdr:y>
    </cdr:from>
    <cdr:to>
      <cdr:x>0.72741</cdr:x>
      <cdr:y>0.80929</cdr:y>
    </cdr:to>
    <cdr:sp macro="" textlink="">
      <cdr:nvSpPr>
        <cdr:cNvPr id="8" name="TextBox 1"/>
        <cdr:cNvSpPr txBox="1"/>
      </cdr:nvSpPr>
      <cdr:spPr>
        <a:xfrm xmlns:a="http://schemas.openxmlformats.org/drawingml/2006/main">
          <a:off x="4845890" y="5420558"/>
          <a:ext cx="809588" cy="2230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Mean</a:t>
          </a:r>
        </a:p>
      </cdr:txBody>
    </cdr:sp>
  </cdr:relSizeAnchor>
</c:userShapes>
</file>

<file path=xl/drawings/drawing8.xml><?xml version="1.0" encoding="utf-8"?>
<c:userShapes xmlns:c="http://schemas.openxmlformats.org/drawingml/2006/chart">
  <cdr:relSizeAnchor xmlns:cdr="http://schemas.openxmlformats.org/drawingml/2006/chartDrawing">
    <cdr:from>
      <cdr:x>0.33997</cdr:x>
      <cdr:y>0.11047</cdr:y>
    </cdr:from>
    <cdr:to>
      <cdr:x>0.62481</cdr:x>
      <cdr:y>0.32559</cdr:y>
    </cdr:to>
    <cdr:sp macro="" textlink="">
      <cdr:nvSpPr>
        <cdr:cNvPr id="2" name="TextBox 1"/>
        <cdr:cNvSpPr txBox="1"/>
      </cdr:nvSpPr>
      <cdr:spPr>
        <a:xfrm xmlns:a="http://schemas.openxmlformats.org/drawingml/2006/main">
          <a:off x="2643188" y="770335"/>
          <a:ext cx="2214562" cy="15001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0.8438</cdr:x>
      <cdr:y>0.58853</cdr:y>
    </cdr:from>
    <cdr:to>
      <cdr:x>1</cdr:x>
      <cdr:y>0.62319</cdr:y>
    </cdr:to>
    <cdr:sp macro="" textlink="">
      <cdr:nvSpPr>
        <cdr:cNvPr id="3" name="TextBox 2"/>
        <cdr:cNvSpPr txBox="1"/>
      </cdr:nvSpPr>
      <cdr:spPr>
        <a:xfrm xmlns:a="http://schemas.openxmlformats.org/drawingml/2006/main">
          <a:off x="6560378" y="4104081"/>
          <a:ext cx="1214404" cy="2417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95th percentile</a:t>
          </a:r>
        </a:p>
      </cdr:txBody>
    </cdr:sp>
  </cdr:relSizeAnchor>
  <cdr:relSizeAnchor xmlns:cdr="http://schemas.openxmlformats.org/drawingml/2006/chartDrawing">
    <cdr:from>
      <cdr:x>0.84727</cdr:x>
      <cdr:y>0.81828</cdr:y>
    </cdr:from>
    <cdr:to>
      <cdr:x>0.98162</cdr:x>
      <cdr:y>0.85026</cdr:y>
    </cdr:to>
    <cdr:sp macro="" textlink="">
      <cdr:nvSpPr>
        <cdr:cNvPr id="4" name="TextBox 1"/>
        <cdr:cNvSpPr txBox="1"/>
      </cdr:nvSpPr>
      <cdr:spPr>
        <a:xfrm xmlns:a="http://schemas.openxmlformats.org/drawingml/2006/main">
          <a:off x="6587365" y="5706284"/>
          <a:ext cx="1044541" cy="2230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Third quartile</a:t>
          </a:r>
        </a:p>
      </cdr:txBody>
    </cdr:sp>
  </cdr:relSizeAnchor>
  <cdr:relSizeAnchor xmlns:cdr="http://schemas.openxmlformats.org/drawingml/2006/chartDrawing">
    <cdr:from>
      <cdr:x>0.84993</cdr:x>
      <cdr:y>0.91856</cdr:y>
    </cdr:from>
    <cdr:to>
      <cdr:x>0.98315</cdr:x>
      <cdr:y>0.94462</cdr:y>
    </cdr:to>
    <cdr:sp macro="" textlink="">
      <cdr:nvSpPr>
        <cdr:cNvPr id="5" name="TextBox 1"/>
        <cdr:cNvSpPr txBox="1"/>
      </cdr:nvSpPr>
      <cdr:spPr>
        <a:xfrm xmlns:a="http://schemas.openxmlformats.org/drawingml/2006/main">
          <a:off x="6608031" y="6405562"/>
          <a:ext cx="1035781" cy="1817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5th percentile</a:t>
          </a:r>
        </a:p>
      </cdr:txBody>
    </cdr:sp>
  </cdr:relSizeAnchor>
  <cdr:relSizeAnchor xmlns:cdr="http://schemas.openxmlformats.org/drawingml/2006/chartDrawing">
    <cdr:from>
      <cdr:x>0.85299</cdr:x>
      <cdr:y>0.89466</cdr:y>
    </cdr:from>
    <cdr:to>
      <cdr:x>1</cdr:x>
      <cdr:y>0.93267</cdr:y>
    </cdr:to>
    <cdr:sp macro="" textlink="">
      <cdr:nvSpPr>
        <cdr:cNvPr id="6" name="TextBox 1"/>
        <cdr:cNvSpPr txBox="1"/>
      </cdr:nvSpPr>
      <cdr:spPr>
        <a:xfrm xmlns:a="http://schemas.openxmlformats.org/drawingml/2006/main">
          <a:off x="6631781" y="6238875"/>
          <a:ext cx="1143001" cy="2650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First quartile</a:t>
          </a:r>
        </a:p>
      </cdr:txBody>
    </cdr:sp>
  </cdr:relSizeAnchor>
  <cdr:relSizeAnchor xmlns:cdr="http://schemas.openxmlformats.org/drawingml/2006/chartDrawing">
    <cdr:from>
      <cdr:x>0.85187</cdr:x>
      <cdr:y>0.87462</cdr:y>
    </cdr:from>
    <cdr:to>
      <cdr:x>0.97703</cdr:x>
      <cdr:y>0.91002</cdr:y>
    </cdr:to>
    <cdr:sp macro="" textlink="">
      <cdr:nvSpPr>
        <cdr:cNvPr id="7" name="TextBox 1"/>
        <cdr:cNvSpPr txBox="1"/>
      </cdr:nvSpPr>
      <cdr:spPr>
        <a:xfrm xmlns:a="http://schemas.openxmlformats.org/drawingml/2006/main">
          <a:off x="6623084" y="6099167"/>
          <a:ext cx="973103" cy="2468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Median</a:t>
          </a:r>
        </a:p>
      </cdr:txBody>
    </cdr:sp>
  </cdr:relSizeAnchor>
  <cdr:relSizeAnchor xmlns:cdr="http://schemas.openxmlformats.org/drawingml/2006/chartDrawing">
    <cdr:from>
      <cdr:x>0.85952</cdr:x>
      <cdr:y>0.83365</cdr:y>
    </cdr:from>
    <cdr:to>
      <cdr:x>0.94793</cdr:x>
      <cdr:y>0.86734</cdr:y>
    </cdr:to>
    <cdr:sp macro="" textlink="">
      <cdr:nvSpPr>
        <cdr:cNvPr id="8" name="TextBox 1"/>
        <cdr:cNvSpPr txBox="1"/>
      </cdr:nvSpPr>
      <cdr:spPr>
        <a:xfrm xmlns:a="http://schemas.openxmlformats.org/drawingml/2006/main">
          <a:off x="6682605" y="5813434"/>
          <a:ext cx="687364" cy="2349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Mean</a:t>
          </a:r>
        </a:p>
      </cdr:txBody>
    </cdr:sp>
  </cdr:relSizeAnchor>
</c:userShapes>
</file>

<file path=xl/drawings/drawing9.xml><?xml version="1.0" encoding="utf-8"?>
<c:userShapes xmlns:c="http://schemas.openxmlformats.org/drawingml/2006/chart">
  <cdr:relSizeAnchor xmlns:cdr="http://schemas.openxmlformats.org/drawingml/2006/chartDrawing">
    <cdr:from>
      <cdr:x>0.33997</cdr:x>
      <cdr:y>0.11047</cdr:y>
    </cdr:from>
    <cdr:to>
      <cdr:x>0.62481</cdr:x>
      <cdr:y>0.32559</cdr:y>
    </cdr:to>
    <cdr:sp macro="" textlink="">
      <cdr:nvSpPr>
        <cdr:cNvPr id="2" name="TextBox 1"/>
        <cdr:cNvSpPr txBox="1"/>
      </cdr:nvSpPr>
      <cdr:spPr>
        <a:xfrm xmlns:a="http://schemas.openxmlformats.org/drawingml/2006/main">
          <a:off x="2643188" y="770335"/>
          <a:ext cx="2214562" cy="15001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0.59878</cdr:x>
      <cdr:y>0.44852</cdr:y>
    </cdr:from>
    <cdr:to>
      <cdr:x>0.7611</cdr:x>
      <cdr:y>0.48438</cdr:y>
    </cdr:to>
    <cdr:sp macro="" textlink="">
      <cdr:nvSpPr>
        <cdr:cNvPr id="3" name="TextBox 2"/>
        <cdr:cNvSpPr txBox="1"/>
      </cdr:nvSpPr>
      <cdr:spPr>
        <a:xfrm xmlns:a="http://schemas.openxmlformats.org/drawingml/2006/main">
          <a:off x="4655375" y="3127767"/>
          <a:ext cx="1262003" cy="2500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95th percentile</a:t>
          </a:r>
        </a:p>
      </cdr:txBody>
    </cdr:sp>
  </cdr:relSizeAnchor>
  <cdr:relSizeAnchor xmlns:cdr="http://schemas.openxmlformats.org/drawingml/2006/chartDrawing">
    <cdr:from>
      <cdr:x>0.59766</cdr:x>
      <cdr:y>0.7073</cdr:y>
    </cdr:from>
    <cdr:to>
      <cdr:x>0.75998</cdr:x>
      <cdr:y>0.74315</cdr:y>
    </cdr:to>
    <cdr:sp macro="" textlink="">
      <cdr:nvSpPr>
        <cdr:cNvPr id="4" name="TextBox 1"/>
        <cdr:cNvSpPr txBox="1"/>
      </cdr:nvSpPr>
      <cdr:spPr>
        <a:xfrm xmlns:a="http://schemas.openxmlformats.org/drawingml/2006/main">
          <a:off x="4646647" y="4932378"/>
          <a:ext cx="1262003" cy="250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Third quartile</a:t>
          </a:r>
        </a:p>
      </cdr:txBody>
    </cdr:sp>
  </cdr:relSizeAnchor>
  <cdr:relSizeAnchor xmlns:cdr="http://schemas.openxmlformats.org/drawingml/2006/chartDrawing">
    <cdr:from>
      <cdr:x>0.58081</cdr:x>
      <cdr:y>0.9156</cdr:y>
    </cdr:from>
    <cdr:to>
      <cdr:x>0.74313</cdr:x>
      <cdr:y>0.95145</cdr:y>
    </cdr:to>
    <cdr:sp macro="" textlink="">
      <cdr:nvSpPr>
        <cdr:cNvPr id="5" name="TextBox 1"/>
        <cdr:cNvSpPr txBox="1"/>
      </cdr:nvSpPr>
      <cdr:spPr>
        <a:xfrm xmlns:a="http://schemas.openxmlformats.org/drawingml/2006/main">
          <a:off x="4515678" y="6384959"/>
          <a:ext cx="1262003" cy="2499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5th percentile</a:t>
          </a:r>
        </a:p>
      </cdr:txBody>
    </cdr:sp>
  </cdr:relSizeAnchor>
  <cdr:relSizeAnchor xmlns:cdr="http://schemas.openxmlformats.org/drawingml/2006/chartDrawing">
    <cdr:from>
      <cdr:x>0.57774</cdr:x>
      <cdr:y>0.87633</cdr:y>
    </cdr:from>
    <cdr:to>
      <cdr:x>0.74007</cdr:x>
      <cdr:y>0.91218</cdr:y>
    </cdr:to>
    <cdr:sp macro="" textlink="">
      <cdr:nvSpPr>
        <cdr:cNvPr id="6" name="TextBox 1"/>
        <cdr:cNvSpPr txBox="1"/>
      </cdr:nvSpPr>
      <cdr:spPr>
        <a:xfrm xmlns:a="http://schemas.openxmlformats.org/drawingml/2006/main">
          <a:off x="4491799" y="6111079"/>
          <a:ext cx="1262081" cy="250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First quartile</a:t>
          </a:r>
        </a:p>
      </cdr:txBody>
    </cdr:sp>
  </cdr:relSizeAnchor>
  <cdr:relSizeAnchor xmlns:cdr="http://schemas.openxmlformats.org/drawingml/2006/chartDrawing">
    <cdr:from>
      <cdr:x>0.58847</cdr:x>
      <cdr:y>0.8234</cdr:y>
    </cdr:from>
    <cdr:to>
      <cdr:x>0.75079</cdr:x>
      <cdr:y>0.85926</cdr:y>
    </cdr:to>
    <cdr:sp macro="" textlink="">
      <cdr:nvSpPr>
        <cdr:cNvPr id="7" name="TextBox 1"/>
        <cdr:cNvSpPr txBox="1"/>
      </cdr:nvSpPr>
      <cdr:spPr>
        <a:xfrm xmlns:a="http://schemas.openxmlformats.org/drawingml/2006/main">
          <a:off x="4575209" y="5741979"/>
          <a:ext cx="1262003" cy="2500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Median</a:t>
          </a:r>
        </a:p>
      </cdr:txBody>
    </cdr:sp>
  </cdr:relSizeAnchor>
  <cdr:relSizeAnchor xmlns:cdr="http://schemas.openxmlformats.org/drawingml/2006/chartDrawing">
    <cdr:from>
      <cdr:x>0.62522</cdr:x>
      <cdr:y>0.77901</cdr:y>
    </cdr:from>
    <cdr:to>
      <cdr:x>0.78754</cdr:x>
      <cdr:y>0.81487</cdr:y>
    </cdr:to>
    <cdr:sp macro="" textlink="">
      <cdr:nvSpPr>
        <cdr:cNvPr id="8" name="TextBox 1"/>
        <cdr:cNvSpPr txBox="1"/>
      </cdr:nvSpPr>
      <cdr:spPr>
        <a:xfrm xmlns:a="http://schemas.openxmlformats.org/drawingml/2006/main">
          <a:off x="4860950" y="5432433"/>
          <a:ext cx="1262002" cy="2500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1100"/>
            <a:t>Mean</a:t>
          </a:r>
        </a:p>
      </cdr:txBody>
    </cdr:sp>
  </cdr:relSizeAnchor>
</c:userShape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irenem\Desktop\Copy%20of%20Marine%20Pest%20Survey%20FINAL%20data%20as%20at%2022%20June%202016%20(A853868).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rene Middleton" refreshedDate="42615.425444444445" createdVersion="4" refreshedVersion="4" minRefreshableVersion="3" recordCount="98">
  <cacheSource type="worksheet">
    <worksheetSource ref="A1:F99" sheet="Sheet5" r:id="rId2"/>
  </cacheSource>
  <cacheFields count="6">
    <cacheField name="What type of vessel do you own?" numFmtId="0">
      <sharedItems/>
    </cacheField>
    <cacheField name="What length is your vessel?" numFmtId="0">
      <sharedItems/>
    </cacheField>
    <cacheField name="Where is your home port?" numFmtId="0">
      <sharedItems/>
    </cacheField>
    <cacheField name="How many times per year do you move your vessel from one harbour to another?  (e.g. Tutukaka to Bay of Islands)." numFmtId="0">
      <sharedItems containsString="0" containsBlank="1" containsNumber="1" containsInteger="1" minValue="0" maxValue="20" count="12">
        <n v="3"/>
        <n v="1"/>
        <n v="0"/>
        <n v="6"/>
        <m/>
        <n v="4"/>
        <n v="10"/>
        <n v="2"/>
        <n v="20"/>
        <n v="14"/>
        <n v="5"/>
        <n v="15"/>
      </sharedItems>
    </cacheField>
    <cacheField name="Please select which image below best resembles the current state of your vessel’s hull:" numFmtId="0">
      <sharedItems containsBlank="1"/>
    </cacheField>
    <cacheField name="LOF" numFmtId="0">
      <sharedItems containsString="0" containsBlank="1" containsNumber="1" containsInteger="1" minValue="0" maxValue="5" count="7">
        <n v="1"/>
        <n v="4"/>
        <n v="0"/>
        <n v="2"/>
        <n v="3"/>
        <m/>
        <n v="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8">
  <r>
    <s v="Yacht"/>
    <s v="10-15m"/>
    <s v="opua"/>
    <x v="0"/>
    <s v="Slime only "/>
    <x v="0"/>
  </r>
  <r>
    <s v="Yacht"/>
    <s v="5-10m"/>
    <s v="Whangaroa"/>
    <x v="1"/>
    <s v="Heavy fouling on 16-40% of the hull "/>
    <x v="1"/>
  </r>
  <r>
    <s v="Yacht"/>
    <s v="5-10m"/>
    <s v="opua"/>
    <x v="2"/>
    <s v="Fully clean hull"/>
    <x v="2"/>
  </r>
  <r>
    <s v="Yacht"/>
    <s v="10-15m"/>
    <s v="Bay of Islands"/>
    <x v="3"/>
    <s v="Light fouling on 1-5% of the hull"/>
    <x v="3"/>
  </r>
  <r>
    <s v="Yacht"/>
    <s v="15-20m"/>
    <s v="Russell"/>
    <x v="4"/>
    <s v="Slime only "/>
    <x v="0"/>
  </r>
  <r>
    <s v="Launch"/>
    <s v="5-10m"/>
    <s v="Paihia "/>
    <x v="4"/>
    <s v="Moderate fouling on 6-15% of the hull "/>
    <x v="4"/>
  </r>
  <r>
    <s v="Multi-hull"/>
    <s v="10-15m"/>
    <s v="Whangarei"/>
    <x v="5"/>
    <s v="Moderate fouling on 6-15% of the hull "/>
    <x v="4"/>
  </r>
  <r>
    <s v="Yacht"/>
    <s v="5-10m"/>
    <s v="opua"/>
    <x v="2"/>
    <s v="Fully clean hull "/>
    <x v="2"/>
  </r>
  <r>
    <s v="Work boat"/>
    <s v="5-10m"/>
    <s v="opua"/>
    <x v="4"/>
    <s v="Heavy fouling on 16-40% of the hull "/>
    <x v="1"/>
  </r>
  <r>
    <s v="Launch"/>
    <s v="10-15m"/>
    <s v="Kerikeri"/>
    <x v="2"/>
    <s v="Slime only "/>
    <x v="0"/>
  </r>
  <r>
    <s v="Commercial fishing vessel"/>
    <s v="15-20m"/>
    <s v="Maunganui"/>
    <x v="6"/>
    <s v="Slime only "/>
    <x v="0"/>
  </r>
  <r>
    <s v="Launch"/>
    <s v="10-15m"/>
    <s v="Waitangi B.O.I's"/>
    <x v="7"/>
    <s v="Slime only "/>
    <x v="0"/>
  </r>
  <r>
    <s v="Yacht"/>
    <s v="10-15m"/>
    <s v="Whangarei"/>
    <x v="1"/>
    <s v="Fully clean hull "/>
    <x v="2"/>
  </r>
  <r>
    <s v="Yacht"/>
    <s v="5-10m"/>
    <s v="Dove's Bay"/>
    <x v="1"/>
    <s v="Fully clean hull "/>
    <x v="2"/>
  </r>
  <r>
    <s v="Yacht"/>
    <s v="10-15m"/>
    <s v="waipero bay"/>
    <x v="1"/>
    <s v="Moderate fouling on 6-15% of the hull "/>
    <x v="5"/>
  </r>
  <r>
    <s v="Commercial fishing vessel"/>
    <s v="15-20m"/>
    <s v="Whangarei"/>
    <x v="8"/>
    <s v="Slime only "/>
    <x v="0"/>
  </r>
  <r>
    <s v="Yacht"/>
    <s v="5-10m"/>
    <s v="Kerikeri"/>
    <x v="1"/>
    <s v="Fully clean hull "/>
    <x v="2"/>
  </r>
  <r>
    <s v="Yacht"/>
    <s v="5-10m"/>
    <s v="opua"/>
    <x v="0"/>
    <s v="Slime only "/>
    <x v="0"/>
  </r>
  <r>
    <s v="Launch"/>
    <s v="5-10m"/>
    <s v="Paihia"/>
    <x v="2"/>
    <s v="Slime only "/>
    <x v="0"/>
  </r>
  <r>
    <s v="Yacht"/>
    <s v="5-10m"/>
    <s v="opua"/>
    <x v="2"/>
    <s v="Very heavy fouling on 41-100% of the hull "/>
    <x v="6"/>
  </r>
  <r>
    <s v="Yacht"/>
    <s v="5-10m"/>
    <s v="opua"/>
    <x v="9"/>
    <s v="Fully clean hull "/>
    <x v="2"/>
  </r>
  <r>
    <s v="Launch"/>
    <s v="10-15m"/>
    <s v="Kerikeri"/>
    <x v="0"/>
    <s v="Slime only "/>
    <x v="0"/>
  </r>
  <r>
    <s v="Launch"/>
    <s v="5-10m"/>
    <s v="Whangaroa "/>
    <x v="4"/>
    <s v="Fully clean hull "/>
    <x v="2"/>
  </r>
  <r>
    <s v="Yacht"/>
    <s v="10-15m"/>
    <s v="Opua "/>
    <x v="7"/>
    <s v="Slime only "/>
    <x v="0"/>
  </r>
  <r>
    <s v="Yacht"/>
    <s v="10-15m"/>
    <s v="Bay of island"/>
    <x v="7"/>
    <s v="Slime only "/>
    <x v="0"/>
  </r>
  <r>
    <s v="Launch"/>
    <s v="5-10m"/>
    <s v="Bay of Islands"/>
    <x v="1"/>
    <s v="Moderate fouling on 6-15% of the hull "/>
    <x v="4"/>
  </r>
  <r>
    <s v="Yacht"/>
    <s v="5-10m"/>
    <s v="Kerikeri"/>
    <x v="2"/>
    <s v="Light fouling on 1-5% of the hull "/>
    <x v="3"/>
  </r>
  <r>
    <s v="Launch"/>
    <s v="10-15m"/>
    <s v="Paihia"/>
    <x v="2"/>
    <s v="Light fouling on 1-5% of the hull "/>
    <x v="3"/>
  </r>
  <r>
    <s v="Launch"/>
    <s v="10-15m"/>
    <s v="opua"/>
    <x v="2"/>
    <s v="Moderate fouling on 6-15% of the hull "/>
    <x v="4"/>
  </r>
  <r>
    <s v="Launch"/>
    <s v="5-10m"/>
    <s v="Doves bay KeriKeri"/>
    <x v="2"/>
    <s v="Light fouling on 1-5% of the hull "/>
    <x v="3"/>
  </r>
  <r>
    <s v="Launch"/>
    <s v="5-10m"/>
    <s v="Kerikeri"/>
    <x v="4"/>
    <s v="Slime only "/>
    <x v="0"/>
  </r>
  <r>
    <s v="Multi-hull"/>
    <s v="5-10m"/>
    <s v="kerikeri inlet"/>
    <x v="5"/>
    <s v="Slime only "/>
    <x v="0"/>
  </r>
  <r>
    <s v="Launch"/>
    <s v="5-10m"/>
    <s v="Kerikeri"/>
    <x v="2"/>
    <s v="Light fouling on 1-5% of the hull "/>
    <x v="3"/>
  </r>
  <r>
    <s v="Yacht"/>
    <s v="10-15m"/>
    <s v="Doves Bay Marina"/>
    <x v="6"/>
    <s v="Light fouling on 1-5% of the hull "/>
    <x v="5"/>
  </r>
  <r>
    <s v="Yacht"/>
    <s v="10-15m"/>
    <s v="Doves Bay"/>
    <x v="10"/>
    <s v="Light fouling on 1-5% of the hull "/>
    <x v="3"/>
  </r>
  <r>
    <s v="Launch"/>
    <s v="5-10m"/>
    <s v="opua"/>
    <x v="6"/>
    <s v="Light fouling on 1-5% of the hull "/>
    <x v="3"/>
  </r>
  <r>
    <s v="Yacht"/>
    <s v="5-10m"/>
    <s v="Opua Marina "/>
    <x v="10"/>
    <s v="Light fouling on 1-5% of the hull "/>
    <x v="3"/>
  </r>
  <r>
    <s v="Launch"/>
    <s v="10-15m"/>
    <s v="opua"/>
    <x v="4"/>
    <s v="Slime only "/>
    <x v="0"/>
  </r>
  <r>
    <s v="Launch"/>
    <s v="10-15m"/>
    <s v="Opua Marina "/>
    <x v="10"/>
    <s v="Light fouling on 1-5% of the hull "/>
    <x v="3"/>
  </r>
  <r>
    <s v="Yacht"/>
    <s v="10-15m"/>
    <s v="Doves Bay Marina"/>
    <x v="8"/>
    <s v="Light fouling on 1-5% of the hull "/>
    <x v="3"/>
  </r>
  <r>
    <s v="Yacht"/>
    <s v="5-10m"/>
    <s v="Doves bay Marina "/>
    <x v="11"/>
    <s v="Fully clean hull "/>
    <x v="2"/>
  </r>
  <r>
    <s v="Launch"/>
    <s v="15-20m"/>
    <s v="Doves bay Marina "/>
    <x v="6"/>
    <s v="Light fouling on 1-5% of the hull "/>
    <x v="3"/>
  </r>
  <r>
    <s v="Yacht"/>
    <s v="10-15m"/>
    <s v="Doves bay Marina "/>
    <x v="0"/>
    <s v="Light fouling on 1-5% of the hull "/>
    <x v="3"/>
  </r>
  <r>
    <s v="Launch"/>
    <s v="10-15m"/>
    <s v="Doves bay Marina "/>
    <x v="0"/>
    <s v="Light fouling on 1-5% of the hull "/>
    <x v="3"/>
  </r>
  <r>
    <s v="Yacht"/>
    <s v="10-15m"/>
    <s v="Doves Bay"/>
    <x v="5"/>
    <s v="Moderate fouling on 6-15% of the hull "/>
    <x v="4"/>
  </r>
  <r>
    <s v="Yacht"/>
    <s v="5-10m"/>
    <s v="Mangonui"/>
    <x v="4"/>
    <s v="Slime only "/>
    <x v="0"/>
  </r>
  <r>
    <s v="Yacht"/>
    <s v="10-15m"/>
    <s v="Whangarei"/>
    <x v="4"/>
    <s v="Fully clean hull "/>
    <x v="2"/>
  </r>
  <r>
    <s v="Yacht"/>
    <s v="5-10m"/>
    <s v="Whangarei kissing point"/>
    <x v="7"/>
    <s v="Slime only "/>
    <x v="0"/>
  </r>
  <r>
    <s v="Yacht"/>
    <s v="5-10m"/>
    <s v="Tutukaka "/>
    <x v="4"/>
    <s v="Fully clean hull "/>
    <x v="2"/>
  </r>
  <r>
    <s v="Yacht"/>
    <s v="5-10m"/>
    <s v="Tutukaka"/>
    <x v="7"/>
    <s v="Slime only "/>
    <x v="0"/>
  </r>
  <r>
    <s v="Yacht"/>
    <s v="10-15m"/>
    <s v="Tutukaka"/>
    <x v="0"/>
    <s v="Slime only "/>
    <x v="0"/>
  </r>
  <r>
    <s v="Yacht"/>
    <s v="10-15m"/>
    <s v="Whangarei"/>
    <x v="10"/>
    <s v="Moderate fouling on 6-15% of the hull "/>
    <x v="4"/>
  </r>
  <r>
    <s v="Yacht"/>
    <s v="5-10m"/>
    <s v="Tutukaka"/>
    <x v="0"/>
    <s v="Light fouling on 1-5% of the hull "/>
    <x v="3"/>
  </r>
  <r>
    <s v="Yacht"/>
    <s v="10-15m"/>
    <s v="Tutukaka"/>
    <x v="1"/>
    <s v="Slime only "/>
    <x v="0"/>
  </r>
  <r>
    <s v="Multi-hull"/>
    <s v="10-15m"/>
    <s v="Tutukaka"/>
    <x v="4"/>
    <s v="Slime only "/>
    <x v="0"/>
  </r>
  <r>
    <s v="Yacht"/>
    <s v="5-10m"/>
    <s v="Whangarei"/>
    <x v="7"/>
    <s v="Fully clean hull "/>
    <x v="2"/>
  </r>
  <r>
    <s v="Yacht"/>
    <s v="10-15m"/>
    <s v="Tutu kaka marina"/>
    <x v="1"/>
    <s v="Fully clean hull "/>
    <x v="2"/>
  </r>
  <r>
    <s v="Launch"/>
    <s v="15-20m"/>
    <s v="Tutukaka "/>
    <x v="10"/>
    <s v="Slime only "/>
    <x v="0"/>
  </r>
  <r>
    <s v="Launch"/>
    <s v="10-15m"/>
    <s v="Tutukaka"/>
    <x v="6"/>
    <s v="Light fouling on 1-5% of the hull "/>
    <x v="3"/>
  </r>
  <r>
    <s v="Launch"/>
    <s v="5-10m"/>
    <s v="Kerikeri Cruising Club Marina"/>
    <x v="2"/>
    <s v="Light fouling on 1-5% of the hull "/>
    <x v="3"/>
  </r>
  <r>
    <s v="Yacht"/>
    <s v="15-20m"/>
    <s v="Tutukaka"/>
    <x v="4"/>
    <s v="Slime only "/>
    <x v="0"/>
  </r>
  <r>
    <s v="Yacht"/>
    <s v="10-15m"/>
    <s v="Tutakaka"/>
    <x v="4"/>
    <s v="Slime only "/>
    <x v="0"/>
  </r>
  <r>
    <s v="Launch"/>
    <s v="10-15m"/>
    <s v="Tutukaka"/>
    <x v="4"/>
    <m/>
    <x v="5"/>
  </r>
  <r>
    <s v="Multi-hull"/>
    <s v="10-15m"/>
    <s v="Whangarei"/>
    <x v="3"/>
    <s v="Light fouling on 1-5% of the hull "/>
    <x v="3"/>
  </r>
  <r>
    <s v="Yacht"/>
    <s v="10-15m"/>
    <s v="Tutukaka"/>
    <x v="1"/>
    <s v="Slime only "/>
    <x v="0"/>
  </r>
  <r>
    <s v="Yacht"/>
    <s v="10-15m"/>
    <s v="Tutukaka"/>
    <x v="7"/>
    <s v="Slime only "/>
    <x v="0"/>
  </r>
  <r>
    <s v="Launch"/>
    <s v="15-20m"/>
    <s v="Tutukaka"/>
    <x v="5"/>
    <s v="Slime only "/>
    <x v="0"/>
  </r>
  <r>
    <s v="Launch"/>
    <s v="10-15m"/>
    <s v="Kerikeri"/>
    <x v="1"/>
    <s v="Light fouling on 1-5% of the hull "/>
    <x v="3"/>
  </r>
  <r>
    <s v="Launch"/>
    <s v="10-15m"/>
    <s v="Tutukaka 1"/>
    <x v="1"/>
    <s v="Fully clean hull "/>
    <x v="2"/>
  </r>
  <r>
    <s v="Launch"/>
    <s v="10-15m"/>
    <s v="Tutukaka"/>
    <x v="7"/>
    <s v="Light fouling on 1-5% of the hull "/>
    <x v="3"/>
  </r>
  <r>
    <s v="Yacht"/>
    <s v="10-15m"/>
    <s v="Whangarei"/>
    <x v="1"/>
    <s v="Slime only "/>
    <x v="0"/>
  </r>
  <r>
    <s v="Multi-hull"/>
    <s v="10-15m"/>
    <s v="Tutukaka "/>
    <x v="3"/>
    <s v="Light fouling on 1-5% of the hull "/>
    <x v="3"/>
  </r>
  <r>
    <s v="Yacht"/>
    <s v="10-15m"/>
    <s v="Parua Bay"/>
    <x v="0"/>
    <s v="Slime only "/>
    <x v="0"/>
  </r>
  <r>
    <s v="Yacht"/>
    <s v="10-15m"/>
    <s v="Totara North"/>
    <x v="5"/>
    <s v="Light fouling on 1-5% of the hull "/>
    <x v="3"/>
  </r>
  <r>
    <s v="Launch"/>
    <s v="5-10m"/>
    <s v="Waiting River. Paihia Bay of Islands"/>
    <x v="2"/>
    <s v="Moderate fouling on 6-15% of the hull "/>
    <x v="4"/>
  </r>
  <r>
    <s v="Launch"/>
    <s v="15-20m"/>
    <s v="tutukaka and gulf harbour"/>
    <x v="6"/>
    <s v="Slime only "/>
    <x v="5"/>
  </r>
  <r>
    <s v="Yacht"/>
    <s v="5-10m"/>
    <s v="tutukaka"/>
    <x v="0"/>
    <s v="Fully clean hull "/>
    <x v="2"/>
  </r>
  <r>
    <s v="Yacht"/>
    <s v="10-15m"/>
    <s v="Tutukaka"/>
    <x v="7"/>
    <s v="Slime only "/>
    <x v="0"/>
  </r>
  <r>
    <s v="Yacht"/>
    <s v="10-15m"/>
    <s v="Tutukaka"/>
    <x v="2"/>
    <s v="Moderate fouling on 6-15% of the hull "/>
    <x v="4"/>
  </r>
  <r>
    <s v="Launch"/>
    <s v="10-15m"/>
    <s v="kerikeri"/>
    <x v="0"/>
    <s v="Light fouling on 1-5% of the hull "/>
    <x v="3"/>
  </r>
  <r>
    <s v="Launch"/>
    <s v="10-15m"/>
    <s v="Tutukaka"/>
    <x v="7"/>
    <s v="Slime only "/>
    <x v="0"/>
  </r>
  <r>
    <s v="Launch"/>
    <s v="10-15m"/>
    <s v="tutukaka"/>
    <x v="8"/>
    <s v="Fully clean hull "/>
    <x v="2"/>
  </r>
  <r>
    <s v="Launch"/>
    <s v="10-15m"/>
    <s v="Tutukaka"/>
    <x v="4"/>
    <s v="Fully clean hull "/>
    <x v="2"/>
  </r>
  <r>
    <s v="Launch"/>
    <s v="10-15m"/>
    <s v="Tutukaka"/>
    <x v="6"/>
    <s v="Fully clean hull "/>
    <x v="2"/>
  </r>
  <r>
    <s v="Launch"/>
    <s v="10-15m"/>
    <s v="Tutukaka"/>
    <x v="5"/>
    <s v="Slime only "/>
    <x v="0"/>
  </r>
  <r>
    <s v="Yacht"/>
    <s v="5-10m"/>
    <s v="Tutukaka"/>
    <x v="1"/>
    <s v="Slime only "/>
    <x v="0"/>
  </r>
  <r>
    <s v="Launch"/>
    <s v="15-20m"/>
    <s v="tutukaka"/>
    <x v="0"/>
    <s v="Slime only "/>
    <x v="0"/>
  </r>
  <r>
    <s v="Launch"/>
    <s v="10-15m"/>
    <s v="Tutukaka"/>
    <x v="4"/>
    <s v="Slime only "/>
    <x v="0"/>
  </r>
  <r>
    <s v="Yacht"/>
    <s v="10-15m"/>
    <s v="Tutukaka"/>
    <x v="0"/>
    <s v="Slime only "/>
    <x v="0"/>
  </r>
  <r>
    <s v="Launch"/>
    <s v="15-20m"/>
    <s v="tutukaka"/>
    <x v="5"/>
    <s v="Light fouling on 1-5% of the hull "/>
    <x v="3"/>
  </r>
  <r>
    <s v="Yacht"/>
    <s v="10-15m"/>
    <s v="Tutukaka"/>
    <x v="3"/>
    <s v="Fully clean hull "/>
    <x v="2"/>
  </r>
  <r>
    <s v="Launch"/>
    <s v="15-20m"/>
    <s v="Tutukaka"/>
    <x v="1"/>
    <s v="Moderate fouling on 6-15% of the hull "/>
    <x v="4"/>
  </r>
  <r>
    <s v="Launch"/>
    <s v="10-15m"/>
    <s v="Tutakaka "/>
    <x v="0"/>
    <s v="Light fouling on 1-5% of the hull "/>
    <x v="3"/>
  </r>
  <r>
    <s v="Yacht"/>
    <s v="10-15m"/>
    <s v="Tutukaka"/>
    <x v="1"/>
    <s v="Light fouling on 1-5% of the hull "/>
    <x v="3"/>
  </r>
  <r>
    <s v="Launch"/>
    <s v="10-15m"/>
    <s v="Tutukaka"/>
    <x v="7"/>
    <s v="Slime only "/>
    <x v="0"/>
  </r>
  <r>
    <s v="Launch"/>
    <s v="15-20m"/>
    <s v="Tutukaka"/>
    <x v="6"/>
    <s v="Light fouling on 1-5% of the hull "/>
    <x v="3"/>
  </r>
  <r>
    <s v="Yacht"/>
    <s v="5-10m"/>
    <s v="kissing point . whangerei"/>
    <x v="1"/>
    <s v="Slime only "/>
    <x v="0"/>
  </r>
  <r>
    <s v="Launch"/>
    <s v="10-15m"/>
    <s v="Whangaroa"/>
    <x v="1"/>
    <s v="Slime only "/>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I4:Q17" firstHeaderRow="1" firstDataRow="2" firstDataCol="1"/>
  <pivotFields count="6">
    <pivotField showAll="0"/>
    <pivotField showAll="0"/>
    <pivotField showAll="0"/>
    <pivotField axis="axisRow" showAll="0">
      <items count="13">
        <item x="2"/>
        <item x="1"/>
        <item x="7"/>
        <item x="0"/>
        <item x="5"/>
        <item x="10"/>
        <item x="3"/>
        <item x="6"/>
        <item x="9"/>
        <item x="11"/>
        <item x="8"/>
        <item h="1" x="4"/>
        <item t="default"/>
      </items>
    </pivotField>
    <pivotField showAll="0"/>
    <pivotField axis="axisCol" dataField="1" showAll="0">
      <items count="8">
        <item x="2"/>
        <item x="0"/>
        <item x="3"/>
        <item x="4"/>
        <item x="1"/>
        <item x="6"/>
        <item x="5"/>
        <item t="default"/>
      </items>
    </pivotField>
  </pivotFields>
  <rowFields count="1">
    <field x="3"/>
  </rowFields>
  <rowItems count="12">
    <i>
      <x/>
    </i>
    <i>
      <x v="1"/>
    </i>
    <i>
      <x v="2"/>
    </i>
    <i>
      <x v="3"/>
    </i>
    <i>
      <x v="4"/>
    </i>
    <i>
      <x v="5"/>
    </i>
    <i>
      <x v="6"/>
    </i>
    <i>
      <x v="7"/>
    </i>
    <i>
      <x v="8"/>
    </i>
    <i>
      <x v="9"/>
    </i>
    <i>
      <x v="10"/>
    </i>
    <i t="grand">
      <x/>
    </i>
  </rowItems>
  <colFields count="1">
    <field x="5"/>
  </colFields>
  <colItems count="8">
    <i>
      <x/>
    </i>
    <i>
      <x v="1"/>
    </i>
    <i>
      <x v="2"/>
    </i>
    <i>
      <x v="3"/>
    </i>
    <i>
      <x v="4"/>
    </i>
    <i>
      <x v="5"/>
    </i>
    <i>
      <x v="6"/>
    </i>
    <i t="grand">
      <x/>
    </i>
  </colItems>
  <dataFields count="1">
    <dataField name="Count of LOF"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hyperlink" Target="mailto:info@stats.govt.nz"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epa.govt.nz/Publications/EPA_AntifoulingPhase2.pdf" TargetMode="External"/><Relationship Id="rId2" Type="http://schemas.openxmlformats.org/officeDocument/2006/relationships/hyperlink" Target="http://www.biosecurity.govt.nz/files/publications/technical-papers/2012-07-vessel-biofouling-scenarios-final-report.pdf" TargetMode="External"/><Relationship Id="rId1" Type="http://schemas.openxmlformats.org/officeDocument/2006/relationships/hyperlink" Target="http://www.epa.govt.nz/search-databases/HSNO%20Application%20Register%20Documents/APP201051_Covec%20Final%20Report%20(2012.12.14).pdf"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doc.govt.nz/documents/conservation/marine-and-coastal/northland-marine-habitat-map-report-1.pdf" TargetMode="External"/><Relationship Id="rId2" Type="http://schemas.openxmlformats.org/officeDocument/2006/relationships/hyperlink" Target="http://www.doc.govt.nz/documents/science-and-technical/sfc326entire.pdf" TargetMode="External"/><Relationship Id="rId1" Type="http://schemas.openxmlformats.org/officeDocument/2006/relationships/hyperlink" Target="https://www.landcareresearch.co.nz/__data/assets/pdf_file/0004/77062/3_2_Patterson.pdf"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0"/>
  <sheetViews>
    <sheetView tabSelected="1" topLeftCell="A25" zoomScale="90" zoomScaleNormal="90" workbookViewId="0">
      <selection activeCell="K38" sqref="K38"/>
    </sheetView>
  </sheetViews>
  <sheetFormatPr defaultColWidth="9.125" defaultRowHeight="19.899999999999999" customHeight="1"/>
  <cols>
    <col min="1" max="1" width="21.125" style="5" customWidth="1"/>
    <col min="2" max="2" width="19.125" style="5" customWidth="1"/>
    <col min="3" max="3" width="14.875" style="7" bestFit="1" customWidth="1"/>
    <col min="4" max="4" width="15.25" style="7" customWidth="1"/>
    <col min="5" max="5" width="16.75" style="7" customWidth="1"/>
    <col min="6" max="6" width="15.875" style="7" customWidth="1"/>
    <col min="7" max="7" width="15" style="7" bestFit="1" customWidth="1"/>
    <col min="8" max="8" width="13.25" style="7" bestFit="1" customWidth="1"/>
    <col min="9" max="9" width="14.25" style="7" customWidth="1"/>
    <col min="10" max="10" width="15.375" style="7" customWidth="1"/>
    <col min="11" max="12" width="15.875" style="7" customWidth="1"/>
    <col min="13" max="13" width="17.125" style="7" customWidth="1"/>
    <col min="14" max="16384" width="9.125" style="7"/>
  </cols>
  <sheetData>
    <row r="1" spans="1:13" s="286" customFormat="1" ht="25.5" customHeight="1">
      <c r="A1" s="282" t="s">
        <v>72</v>
      </c>
      <c r="B1" s="21"/>
      <c r="C1" s="283"/>
      <c r="D1" s="283"/>
      <c r="E1" s="283"/>
      <c r="F1" s="283"/>
      <c r="G1" s="283"/>
      <c r="H1" s="284"/>
      <c r="I1" s="285"/>
    </row>
    <row r="2" spans="1:13" s="283" customFormat="1" ht="19.899999999999999" customHeight="1">
      <c r="A2" s="287"/>
      <c r="B2" s="21"/>
      <c r="H2" s="284"/>
      <c r="I2" s="288"/>
    </row>
    <row r="3" spans="1:13" s="283" customFormat="1" ht="19.899999999999999" customHeight="1">
      <c r="A3" s="289" t="s">
        <v>54</v>
      </c>
      <c r="B3" s="6"/>
      <c r="C3" s="13"/>
      <c r="D3" s="13"/>
      <c r="E3" s="13"/>
      <c r="F3" s="13"/>
      <c r="G3" s="13"/>
      <c r="H3" s="290"/>
      <c r="I3" s="291"/>
      <c r="J3" s="13"/>
      <c r="K3" s="13"/>
      <c r="L3" s="13"/>
      <c r="M3" s="13"/>
    </row>
    <row r="4" spans="1:13" s="283" customFormat="1" ht="19.899999999999999" customHeight="1">
      <c r="A4" s="289" t="s">
        <v>1602</v>
      </c>
      <c r="B4" s="6"/>
      <c r="C4" s="13"/>
      <c r="D4" s="13"/>
      <c r="E4" s="13"/>
      <c r="F4" s="13"/>
      <c r="G4" s="13"/>
      <c r="H4" s="290"/>
      <c r="I4" s="291"/>
      <c r="J4" s="13"/>
      <c r="K4" s="13"/>
      <c r="L4" s="13"/>
      <c r="M4" s="13"/>
    </row>
    <row r="5" spans="1:13" s="283" customFormat="1" ht="19.899999999999999" customHeight="1">
      <c r="A5" s="13" t="s">
        <v>6</v>
      </c>
      <c r="B5" s="6"/>
      <c r="C5" s="13"/>
      <c r="D5" s="13"/>
      <c r="E5" s="13"/>
      <c r="F5" s="13"/>
      <c r="G5" s="13"/>
      <c r="H5" s="290"/>
      <c r="I5" s="291"/>
      <c r="J5" s="13"/>
      <c r="K5" s="13"/>
      <c r="L5" s="13"/>
      <c r="M5" s="13"/>
    </row>
    <row r="6" spans="1:13" s="283" customFormat="1" ht="19.899999999999999" customHeight="1">
      <c r="A6" s="13" t="s">
        <v>1598</v>
      </c>
      <c r="B6" s="6"/>
      <c r="C6" s="13"/>
      <c r="D6" s="13"/>
      <c r="E6" s="13"/>
      <c r="F6" s="13"/>
      <c r="G6" s="13"/>
      <c r="H6" s="290"/>
      <c r="I6" s="291"/>
      <c r="J6" s="13"/>
      <c r="K6" s="13"/>
      <c r="L6" s="13"/>
      <c r="M6" s="13"/>
    </row>
    <row r="7" spans="1:13" s="283" customFormat="1" ht="19.899999999999999" customHeight="1">
      <c r="A7" s="13" t="s">
        <v>22</v>
      </c>
      <c r="B7" s="6"/>
      <c r="C7" s="13"/>
      <c r="D7" s="13"/>
      <c r="E7" s="13"/>
      <c r="F7" s="13"/>
      <c r="G7" s="13"/>
      <c r="H7" s="290"/>
      <c r="I7" s="291"/>
      <c r="J7" s="13"/>
      <c r="K7" s="13"/>
      <c r="L7" s="13"/>
      <c r="M7" s="13"/>
    </row>
    <row r="8" spans="1:13" s="283" customFormat="1" ht="19.899999999999999" customHeight="1">
      <c r="A8" s="13" t="s">
        <v>7</v>
      </c>
      <c r="B8" s="6"/>
      <c r="C8" s="13"/>
      <c r="D8" s="13"/>
      <c r="E8" s="13"/>
      <c r="F8" s="13"/>
      <c r="G8" s="13"/>
      <c r="H8" s="290"/>
      <c r="I8" s="291"/>
      <c r="J8" s="13"/>
      <c r="K8" s="13"/>
      <c r="L8" s="13"/>
      <c r="M8" s="13"/>
    </row>
    <row r="9" spans="1:13" s="283" customFormat="1" ht="19.899999999999999" customHeight="1">
      <c r="A9" s="13" t="s">
        <v>55</v>
      </c>
      <c r="B9" s="6"/>
      <c r="C9" s="13"/>
      <c r="D9" s="13"/>
      <c r="E9" s="13"/>
      <c r="F9" s="13"/>
      <c r="G9" s="13"/>
      <c r="H9" s="290"/>
      <c r="I9" s="291"/>
      <c r="J9" s="13"/>
      <c r="K9" s="13"/>
      <c r="L9" s="13"/>
      <c r="M9" s="13"/>
    </row>
    <row r="10" spans="1:13" s="283" customFormat="1" ht="19.899999999999999" customHeight="1">
      <c r="A10" s="13" t="s">
        <v>1601</v>
      </c>
      <c r="B10" s="6"/>
      <c r="C10" s="13"/>
      <c r="D10" s="13"/>
      <c r="E10" s="13"/>
      <c r="F10" s="13"/>
      <c r="G10" s="13"/>
      <c r="H10" s="290"/>
      <c r="I10" s="291"/>
      <c r="J10" s="13"/>
      <c r="K10" s="13"/>
      <c r="L10" s="13"/>
      <c r="M10" s="13"/>
    </row>
    <row r="11" spans="1:13" s="283" customFormat="1" ht="19.899999999999999" customHeight="1">
      <c r="A11" s="13"/>
      <c r="B11" s="6"/>
      <c r="C11" s="13"/>
      <c r="D11" s="13"/>
      <c r="E11" s="13"/>
      <c r="F11" s="13"/>
      <c r="G11" s="13"/>
      <c r="H11" s="290"/>
      <c r="I11" s="291"/>
      <c r="J11" s="13"/>
      <c r="K11" s="13"/>
      <c r="L11" s="13"/>
      <c r="M11" s="13"/>
    </row>
    <row r="12" spans="1:13" s="283" customFormat="1" ht="19.899999999999999" customHeight="1">
      <c r="A12" s="289" t="s">
        <v>1599</v>
      </c>
      <c r="B12" s="6"/>
      <c r="C12" s="13"/>
      <c r="D12" s="13"/>
      <c r="E12" s="13"/>
      <c r="F12" s="13"/>
      <c r="G12" s="13"/>
      <c r="H12" s="13"/>
      <c r="I12" s="13"/>
      <c r="J12" s="13"/>
      <c r="K12" s="13"/>
      <c r="L12" s="13"/>
      <c r="M12" s="13"/>
    </row>
    <row r="13" spans="1:13" s="283" customFormat="1" ht="19.899999999999999" customHeight="1">
      <c r="A13" s="13" t="s">
        <v>1597</v>
      </c>
      <c r="B13" s="6"/>
      <c r="C13" s="13"/>
      <c r="D13" s="13"/>
      <c r="E13" s="13"/>
      <c r="F13" s="13"/>
      <c r="G13" s="13"/>
      <c r="H13" s="13"/>
      <c r="I13" s="13"/>
      <c r="J13" s="13"/>
      <c r="K13" s="13"/>
      <c r="L13" s="13"/>
      <c r="M13" s="13"/>
    </row>
    <row r="14" spans="1:13" s="283" customFormat="1" ht="19.899999999999999" customHeight="1">
      <c r="A14" s="13" t="s">
        <v>23</v>
      </c>
      <c r="B14" s="6"/>
      <c r="C14" s="13"/>
      <c r="D14" s="13"/>
      <c r="E14" s="13"/>
      <c r="F14" s="13"/>
      <c r="G14" s="13"/>
      <c r="H14" s="13"/>
      <c r="I14" s="13"/>
      <c r="J14" s="13"/>
      <c r="K14" s="13"/>
      <c r="L14" s="13"/>
      <c r="M14" s="13"/>
    </row>
    <row r="15" spans="1:13" s="283" customFormat="1" ht="19.899999999999999" customHeight="1">
      <c r="A15" s="13" t="s">
        <v>19</v>
      </c>
      <c r="B15" s="6"/>
      <c r="C15" s="13"/>
      <c r="D15" s="13"/>
      <c r="E15" s="13"/>
      <c r="F15" s="13"/>
      <c r="G15" s="13"/>
      <c r="H15" s="13"/>
      <c r="I15" s="13"/>
      <c r="J15" s="13"/>
      <c r="K15" s="13"/>
      <c r="L15" s="13"/>
      <c r="M15" s="13"/>
    </row>
    <row r="16" spans="1:13" s="283" customFormat="1" ht="19.899999999999999" customHeight="1">
      <c r="A16" s="13" t="s">
        <v>50</v>
      </c>
      <c r="B16" s="6"/>
      <c r="C16" s="13"/>
      <c r="D16" s="13"/>
      <c r="E16" s="13"/>
      <c r="F16" s="13"/>
      <c r="G16" s="13"/>
      <c r="H16" s="13"/>
      <c r="I16" s="13"/>
      <c r="J16" s="13"/>
      <c r="K16" s="13"/>
      <c r="L16" s="13"/>
      <c r="M16" s="13"/>
    </row>
    <row r="17" spans="1:13" s="283" customFormat="1" ht="19.899999999999999" customHeight="1">
      <c r="A17" s="13"/>
      <c r="B17" s="6"/>
      <c r="C17" s="13"/>
      <c r="D17" s="13"/>
      <c r="E17" s="13"/>
      <c r="F17" s="13"/>
      <c r="G17" s="13"/>
      <c r="H17" s="13"/>
      <c r="I17" s="13"/>
      <c r="J17" s="13"/>
      <c r="K17" s="13"/>
      <c r="L17" s="13"/>
      <c r="M17" s="13"/>
    </row>
    <row r="18" spans="1:13" s="283" customFormat="1" ht="19.899999999999999" customHeight="1">
      <c r="A18" s="13"/>
      <c r="B18" s="6"/>
      <c r="C18" s="13"/>
      <c r="D18" s="13"/>
      <c r="E18" s="13"/>
      <c r="F18" s="13"/>
      <c r="G18" s="13"/>
      <c r="H18" s="13"/>
      <c r="I18" s="13"/>
      <c r="J18" s="13"/>
      <c r="K18" s="13"/>
      <c r="L18" s="13"/>
      <c r="M18" s="13"/>
    </row>
    <row r="19" spans="1:13" s="283" customFormat="1" ht="19.899999999999999" customHeight="1">
      <c r="A19" s="289" t="s">
        <v>8</v>
      </c>
      <c r="B19" s="6"/>
      <c r="C19" s="13"/>
      <c r="D19" s="13"/>
      <c r="E19" s="13"/>
      <c r="F19" s="13"/>
      <c r="G19" s="13"/>
      <c r="H19" s="13"/>
      <c r="I19" s="13"/>
      <c r="J19" s="13"/>
      <c r="K19" s="13"/>
      <c r="L19" s="13"/>
      <c r="M19" s="13"/>
    </row>
    <row r="20" spans="1:13" s="283" customFormat="1" ht="19.899999999999999" customHeight="1">
      <c r="A20" s="13"/>
      <c r="B20" s="6"/>
      <c r="C20" s="13"/>
      <c r="D20" s="13"/>
      <c r="E20" s="13"/>
      <c r="F20" s="13"/>
      <c r="G20" s="13"/>
      <c r="H20" s="13"/>
      <c r="I20" s="13"/>
      <c r="J20" s="13"/>
      <c r="K20" s="13"/>
      <c r="L20" s="13"/>
      <c r="M20" s="13"/>
    </row>
    <row r="21" spans="1:13" s="283" customFormat="1" ht="19.899999999999999" customHeight="1">
      <c r="A21" s="289" t="s">
        <v>20</v>
      </c>
      <c r="B21" s="6"/>
      <c r="C21" s="13"/>
      <c r="D21" s="13"/>
      <c r="E21" s="13"/>
      <c r="F21" s="13"/>
      <c r="G21" s="13"/>
      <c r="H21" s="13"/>
      <c r="I21" s="13"/>
      <c r="J21" s="13"/>
      <c r="K21" s="13"/>
      <c r="L21" s="13"/>
      <c r="M21" s="13"/>
    </row>
    <row r="22" spans="1:13" s="283" customFormat="1" ht="19.899999999999999" customHeight="1">
      <c r="A22" s="289"/>
      <c r="B22" s="6"/>
      <c r="C22" s="13"/>
      <c r="D22" s="13"/>
      <c r="E22" s="13"/>
      <c r="F22" s="13"/>
      <c r="G22" s="13"/>
      <c r="H22" s="13"/>
      <c r="I22" s="13"/>
      <c r="J22" s="13"/>
      <c r="K22" s="13"/>
      <c r="L22" s="13"/>
      <c r="M22" s="13"/>
    </row>
    <row r="23" spans="1:13" s="283" customFormat="1" ht="19.899999999999999" customHeight="1">
      <c r="A23" s="9" t="s">
        <v>1216</v>
      </c>
      <c r="B23" s="503">
        <f>'Summary '!A44</f>
        <v>0.04</v>
      </c>
    </row>
    <row r="24" spans="1:13" s="283" customFormat="1" ht="19.899999999999999" customHeight="1">
      <c r="A24" s="9"/>
      <c r="B24" s="292"/>
    </row>
    <row r="25" spans="1:13" s="5" customFormat="1" ht="20.25" customHeight="1">
      <c r="A25" s="298" t="s">
        <v>1511</v>
      </c>
      <c r="B25" s="299"/>
      <c r="C25" s="6"/>
      <c r="D25" s="6"/>
      <c r="E25" s="6"/>
      <c r="F25" s="6"/>
      <c r="G25" s="287"/>
      <c r="H25" s="6"/>
      <c r="I25" s="6"/>
    </row>
    <row r="26" spans="1:13" s="6" customFormat="1" ht="19.899999999999999" customHeight="1" thickBot="1">
      <c r="A26" s="287"/>
      <c r="B26" s="299"/>
    </row>
    <row r="27" spans="1:13" s="306" customFormat="1" ht="25.15" customHeight="1">
      <c r="A27" s="300" t="s">
        <v>1213</v>
      </c>
      <c r="B27" s="301" t="s">
        <v>21</v>
      </c>
      <c r="C27" s="301" t="s">
        <v>3</v>
      </c>
      <c r="D27" s="302" t="s">
        <v>4</v>
      </c>
      <c r="E27" s="302" t="s">
        <v>78</v>
      </c>
      <c r="F27" s="303" t="s">
        <v>48</v>
      </c>
      <c r="G27" s="304" t="s">
        <v>66</v>
      </c>
      <c r="H27" s="305"/>
      <c r="I27" s="305"/>
    </row>
    <row r="28" spans="1:13" s="306" customFormat="1" ht="25.15" customHeight="1" thickBot="1">
      <c r="A28" s="307" t="s">
        <v>1161</v>
      </c>
      <c r="B28" s="308">
        <f>'Calculation of risk Pi'!B20</f>
        <v>0.75</v>
      </c>
      <c r="C28" s="309">
        <f>'Estimation of benefit value'!B5</f>
        <v>1100000000</v>
      </c>
      <c r="D28" s="310">
        <f>'Summary '!A45</f>
        <v>0.01</v>
      </c>
      <c r="E28" s="310">
        <f>'Summary '!A46</f>
        <v>0.04</v>
      </c>
      <c r="F28" s="311">
        <f>'Summary '!A47</f>
        <v>0.1</v>
      </c>
      <c r="G28" s="312">
        <f>1/B28</f>
        <v>1.3333333333333333</v>
      </c>
      <c r="H28" s="305"/>
      <c r="I28" s="305"/>
    </row>
    <row r="29" spans="1:13" s="283" customFormat="1" ht="19.899999999999999" customHeight="1"/>
    <row r="30" spans="1:13" s="283" customFormat="1" ht="19.899999999999999" customHeight="1" thickBot="1">
      <c r="A30" s="13" t="s">
        <v>1600</v>
      </c>
    </row>
    <row r="31" spans="1:13" s="283" customFormat="1" ht="19.899999999999999" customHeight="1">
      <c r="A31" s="699"/>
      <c r="B31" s="696" t="s">
        <v>56</v>
      </c>
      <c r="C31" s="697"/>
      <c r="D31" s="697"/>
      <c r="E31" s="697"/>
      <c r="F31" s="697"/>
      <c r="G31" s="697"/>
      <c r="H31" s="697"/>
      <c r="I31" s="697"/>
      <c r="J31" s="697"/>
      <c r="K31" s="697"/>
    </row>
    <row r="32" spans="1:13" s="283" customFormat="1" ht="19.899999999999999" customHeight="1">
      <c r="A32" s="700"/>
      <c r="B32" s="293">
        <v>1</v>
      </c>
      <c r="C32" s="294">
        <v>2</v>
      </c>
      <c r="D32" s="294">
        <v>3</v>
      </c>
      <c r="E32" s="294">
        <v>4</v>
      </c>
      <c r="F32" s="294">
        <v>5</v>
      </c>
      <c r="G32" s="294">
        <v>6</v>
      </c>
      <c r="H32" s="294">
        <v>7</v>
      </c>
      <c r="I32" s="295">
        <v>8</v>
      </c>
      <c r="J32" s="295">
        <v>9</v>
      </c>
      <c r="K32" s="295">
        <v>10</v>
      </c>
    </row>
    <row r="33" spans="1:11" s="283" customFormat="1" ht="19.899999999999999" customHeight="1" thickBot="1">
      <c r="A33" s="501" t="s">
        <v>62</v>
      </c>
      <c r="B33" s="502">
        <f>C33*0.5</f>
        <v>1.953125E-3</v>
      </c>
      <c r="C33" s="502">
        <f>D33*0.5</f>
        <v>3.90625E-3</v>
      </c>
      <c r="D33" s="502">
        <f t="shared" ref="D33:I33" si="0">E33*0.5</f>
        <v>7.8125E-3</v>
      </c>
      <c r="E33" s="502">
        <f t="shared" si="0"/>
        <v>1.5625E-2</v>
      </c>
      <c r="F33" s="502">
        <f t="shared" si="0"/>
        <v>3.125E-2</v>
      </c>
      <c r="G33" s="502">
        <f t="shared" si="0"/>
        <v>6.25E-2</v>
      </c>
      <c r="H33" s="502">
        <f t="shared" si="0"/>
        <v>0.125</v>
      </c>
      <c r="I33" s="502">
        <f t="shared" si="0"/>
        <v>0.25</v>
      </c>
      <c r="J33" s="502">
        <f>K33*0.5</f>
        <v>0.5</v>
      </c>
      <c r="K33" s="502">
        <f>D28*100</f>
        <v>1</v>
      </c>
    </row>
    <row r="34" spans="1:11" s="283" customFormat="1" ht="19.899999999999999" customHeight="1"/>
    <row r="35" spans="1:11" s="5" customFormat="1" ht="19.899999999999999" customHeight="1">
      <c r="A35" s="315" t="s">
        <v>1512</v>
      </c>
      <c r="B35" s="6"/>
      <c r="C35" s="6"/>
      <c r="D35" s="6"/>
      <c r="E35" s="6"/>
      <c r="F35" s="6"/>
      <c r="G35" s="6"/>
    </row>
    <row r="36" spans="1:11" s="5" customFormat="1" ht="19.899999999999999" customHeight="1">
      <c r="A36" s="316" t="s">
        <v>1603</v>
      </c>
      <c r="B36" s="6"/>
      <c r="C36" s="6"/>
      <c r="D36" s="6"/>
      <c r="E36" s="6"/>
      <c r="F36" s="6"/>
      <c r="G36" s="6"/>
    </row>
    <row r="37" spans="1:11" s="5" customFormat="1" ht="19.899999999999999" customHeight="1" thickBot="1">
      <c r="A37" s="317"/>
      <c r="B37" s="6"/>
      <c r="C37" s="6"/>
      <c r="D37" s="6"/>
      <c r="E37" s="6"/>
      <c r="F37" s="6"/>
      <c r="G37" s="6"/>
    </row>
    <row r="38" spans="1:11" s="5" customFormat="1" ht="43.5" customHeight="1">
      <c r="A38" s="318" t="s">
        <v>1210</v>
      </c>
      <c r="B38" s="506" t="s">
        <v>1513</v>
      </c>
      <c r="C38" s="304" t="s">
        <v>3</v>
      </c>
      <c r="D38" s="304" t="s">
        <v>1514</v>
      </c>
      <c r="E38" s="304" t="s">
        <v>78</v>
      </c>
      <c r="F38" s="303" t="s">
        <v>48</v>
      </c>
      <c r="G38" s="304" t="s">
        <v>66</v>
      </c>
    </row>
    <row r="39" spans="1:11" s="5" customFormat="1" ht="18.75" customHeight="1">
      <c r="A39" s="319" t="s">
        <v>1209</v>
      </c>
      <c r="B39" s="320">
        <f>B28</f>
        <v>0.75</v>
      </c>
      <c r="C39" s="321">
        <f>C28</f>
        <v>1100000000</v>
      </c>
      <c r="D39" s="322">
        <f>D28</f>
        <v>0.01</v>
      </c>
      <c r="E39" s="500">
        <f>E28</f>
        <v>0.04</v>
      </c>
      <c r="F39" s="323">
        <f>'Summary '!A47</f>
        <v>0.1</v>
      </c>
      <c r="G39" s="324">
        <f t="shared" ref="G39:G46" si="1">1/B39</f>
        <v>1.3333333333333333</v>
      </c>
    </row>
    <row r="40" spans="1:11" ht="19.5" customHeight="1">
      <c r="A40" s="319" t="s">
        <v>1253</v>
      </c>
      <c r="B40" s="320">
        <f>'Calculation of risk Pi'!C69</f>
        <v>0.56210353191484907</v>
      </c>
      <c r="C40" s="321">
        <f t="shared" ref="C40:C44" si="2">$C$28</f>
        <v>1100000000</v>
      </c>
      <c r="D40" s="322">
        <f>$D$28-($D$28*'Calculation of risk Pi'!$C$72)</f>
        <v>7.4947137588646552E-3</v>
      </c>
      <c r="E40" s="500">
        <f>$E$28</f>
        <v>0.04</v>
      </c>
      <c r="F40" s="323">
        <f>$F$28</f>
        <v>0.1</v>
      </c>
      <c r="G40" s="324">
        <f t="shared" si="1"/>
        <v>1.7790316965158053</v>
      </c>
    </row>
    <row r="41" spans="1:11" s="5" customFormat="1" ht="19.5" customHeight="1">
      <c r="A41" s="319" t="s">
        <v>1197</v>
      </c>
      <c r="B41" s="320">
        <f>'Calculation of risk Pi'!D69</f>
        <v>0.43484837365972617</v>
      </c>
      <c r="C41" s="321">
        <f t="shared" si="2"/>
        <v>1100000000</v>
      </c>
      <c r="D41" s="322">
        <f>$D$28-($D$28*'Calculation of risk Pi'!$D$72)</f>
        <v>5.7979783154630156E-3</v>
      </c>
      <c r="E41" s="500">
        <f t="shared" ref="E41:E46" si="3">$E$28</f>
        <v>0.04</v>
      </c>
      <c r="F41" s="323">
        <f t="shared" ref="F41:F46" si="4">$F$28</f>
        <v>0.1</v>
      </c>
      <c r="G41" s="324">
        <f t="shared" si="1"/>
        <v>2.2996521559547363</v>
      </c>
    </row>
    <row r="42" spans="1:11" s="5" customFormat="1" ht="19.5" customHeight="1">
      <c r="A42" s="319" t="s">
        <v>1593</v>
      </c>
      <c r="B42" s="500">
        <f>'Calculation of risk Pi'!E69</f>
        <v>0.38843992763551805</v>
      </c>
      <c r="C42" s="326">
        <f t="shared" si="2"/>
        <v>1100000000</v>
      </c>
      <c r="D42" s="322">
        <f>$D$28-($D$28*'Calculation of risk Pi'!$E$72)</f>
        <v>5.1791990351402403E-3</v>
      </c>
      <c r="E42" s="500">
        <f t="shared" si="3"/>
        <v>0.04</v>
      </c>
      <c r="F42" s="323">
        <f t="shared" si="4"/>
        <v>0.1</v>
      </c>
      <c r="G42" s="324">
        <f t="shared" si="1"/>
        <v>2.5744006443599243</v>
      </c>
    </row>
    <row r="43" spans="1:11" s="5" customFormat="1" ht="19.5" customHeight="1">
      <c r="A43" s="319" t="s">
        <v>1196</v>
      </c>
      <c r="B43" s="325">
        <f>'Calculation of risk Pi'!F69</f>
        <v>0.41191813483483908</v>
      </c>
      <c r="C43" s="326">
        <f t="shared" si="2"/>
        <v>1100000000</v>
      </c>
      <c r="D43" s="327">
        <f>$D$28-($D$28*'Calculation of risk Pi'!$F$72)</f>
        <v>5.4922417977978548E-3</v>
      </c>
      <c r="E43" s="500">
        <f t="shared" si="3"/>
        <v>0.04</v>
      </c>
      <c r="F43" s="328">
        <f t="shared" si="4"/>
        <v>0.1</v>
      </c>
      <c r="G43" s="329">
        <f t="shared" si="1"/>
        <v>2.4276668479307317</v>
      </c>
    </row>
    <row r="44" spans="1:11" ht="19.5" customHeight="1">
      <c r="A44" s="319" t="s">
        <v>1195</v>
      </c>
      <c r="B44" s="325">
        <f>'Calculation of risk Pi'!G69</f>
        <v>0.51989828942307692</v>
      </c>
      <c r="C44" s="326">
        <f t="shared" si="2"/>
        <v>1100000000</v>
      </c>
      <c r="D44" s="327">
        <f>$D$28-($D$28*'Calculation of risk Pi'!$G$72)</f>
        <v>6.931977192307693E-3</v>
      </c>
      <c r="E44" s="500">
        <f t="shared" si="3"/>
        <v>0.04</v>
      </c>
      <c r="F44" s="328">
        <f t="shared" si="4"/>
        <v>0.1</v>
      </c>
      <c r="G44" s="329">
        <f t="shared" si="1"/>
        <v>1.9234531452482455</v>
      </c>
    </row>
    <row r="45" spans="1:11" ht="19.899999999999999" customHeight="1">
      <c r="A45" s="319" t="s">
        <v>1199</v>
      </c>
      <c r="B45" s="500">
        <f>'Calculation of risk Pi'!H69</f>
        <v>0.58832163749999999</v>
      </c>
      <c r="C45" s="321">
        <f>$C$28</f>
        <v>1100000000</v>
      </c>
      <c r="D45" s="322">
        <f>$D$28-($D$28*'Calculation of risk Pi'!$H$72)</f>
        <v>7.8442884999999993E-3</v>
      </c>
      <c r="E45" s="500">
        <f t="shared" si="3"/>
        <v>0.04</v>
      </c>
      <c r="F45" s="323">
        <f t="shared" si="4"/>
        <v>0.1</v>
      </c>
      <c r="G45" s="324">
        <f t="shared" si="1"/>
        <v>1.6997505042469223</v>
      </c>
    </row>
    <row r="46" spans="1:11" ht="19.899999999999999" customHeight="1" thickBot="1">
      <c r="A46" s="330" t="s">
        <v>1688</v>
      </c>
      <c r="B46" s="331">
        <f>'Calculation of risk Pi'!I69</f>
        <v>0.59503453846153842</v>
      </c>
      <c r="C46" s="332">
        <f>$C$28</f>
        <v>1100000000</v>
      </c>
      <c r="D46" s="333">
        <f>$D$28-($D$28*'Calculation of risk Pi'!$I$72)</f>
        <v>7.9337938461538464E-3</v>
      </c>
      <c r="E46" s="331">
        <f t="shared" si="3"/>
        <v>0.04</v>
      </c>
      <c r="F46" s="334">
        <f t="shared" si="4"/>
        <v>0.1</v>
      </c>
      <c r="G46" s="335">
        <f t="shared" si="1"/>
        <v>1.6805747151846002</v>
      </c>
    </row>
    <row r="47" spans="1:11" ht="19.5" customHeight="1">
      <c r="A47" s="13"/>
      <c r="B47" s="13"/>
      <c r="C47" s="248"/>
      <c r="D47" s="336"/>
      <c r="E47" s="6"/>
      <c r="F47" s="6"/>
      <c r="G47" s="13"/>
    </row>
    <row r="48" spans="1:11" s="5" customFormat="1" ht="19.899999999999999" customHeight="1">
      <c r="A48" s="315" t="s">
        <v>1515</v>
      </c>
      <c r="B48" s="236"/>
      <c r="C48" s="313"/>
      <c r="D48" s="166"/>
      <c r="E48" s="166"/>
      <c r="F48" s="313"/>
      <c r="G48" s="314"/>
      <c r="H48" s="6"/>
    </row>
    <row r="49" spans="1:14" s="5" customFormat="1" ht="19.899999999999999" customHeight="1">
      <c r="A49" s="316" t="s">
        <v>51</v>
      </c>
      <c r="B49" s="236"/>
      <c r="C49" s="313"/>
      <c r="D49" s="166"/>
      <c r="E49" s="166"/>
      <c r="F49" s="313"/>
      <c r="G49" s="314"/>
      <c r="H49" s="6"/>
    </row>
    <row r="50" spans="1:14" s="5" customFormat="1" ht="19.899999999999999" customHeight="1">
      <c r="A50" s="316" t="s">
        <v>1222</v>
      </c>
      <c r="B50" s="236"/>
      <c r="C50" s="313"/>
      <c r="D50" s="166"/>
      <c r="E50" s="166"/>
      <c r="F50" s="313"/>
      <c r="G50" s="314"/>
      <c r="H50" s="6"/>
    </row>
    <row r="51" spans="1:14" s="5" customFormat="1" ht="19.899999999999999" customHeight="1">
      <c r="A51" s="316" t="s">
        <v>57</v>
      </c>
      <c r="B51" s="236"/>
      <c r="C51" s="313"/>
      <c r="D51" s="166"/>
      <c r="E51" s="166"/>
      <c r="F51" s="313"/>
      <c r="G51" s="314"/>
      <c r="H51" s="6"/>
    </row>
    <row r="52" spans="1:14" s="5" customFormat="1" ht="19.899999999999999" customHeight="1">
      <c r="L52" s="229"/>
    </row>
    <row r="53" spans="1:14" s="5" customFormat="1" ht="19.899999999999999" customHeight="1" thickBot="1">
      <c r="A53" s="297" t="s">
        <v>61</v>
      </c>
      <c r="B53" s="296">
        <f>B33</f>
        <v>1.953125E-3</v>
      </c>
      <c r="C53" s="296">
        <f t="shared" ref="C53:K53" si="5">C33</f>
        <v>3.90625E-3</v>
      </c>
      <c r="D53" s="296">
        <f t="shared" si="5"/>
        <v>7.8125E-3</v>
      </c>
      <c r="E53" s="296">
        <f t="shared" si="5"/>
        <v>1.5625E-2</v>
      </c>
      <c r="F53" s="296">
        <f t="shared" si="5"/>
        <v>3.125E-2</v>
      </c>
      <c r="G53" s="296">
        <f t="shared" si="5"/>
        <v>6.25E-2</v>
      </c>
      <c r="H53" s="296">
        <f t="shared" si="5"/>
        <v>0.125</v>
      </c>
      <c r="I53" s="296">
        <f t="shared" si="5"/>
        <v>0.25</v>
      </c>
      <c r="J53" s="296">
        <f t="shared" si="5"/>
        <v>0.5</v>
      </c>
      <c r="K53" s="296">
        <f t="shared" si="5"/>
        <v>1</v>
      </c>
      <c r="L53" s="337"/>
    </row>
    <row r="54" spans="1:14" s="5" customFormat="1" ht="19.899999999999999" customHeight="1">
      <c r="A54" s="338"/>
      <c r="B54" s="696" t="s">
        <v>56</v>
      </c>
      <c r="C54" s="697"/>
      <c r="D54" s="697"/>
      <c r="E54" s="697"/>
      <c r="F54" s="697"/>
      <c r="G54" s="697"/>
      <c r="H54" s="697"/>
      <c r="I54" s="697"/>
      <c r="J54" s="697"/>
      <c r="K54" s="698"/>
      <c r="L54" s="339"/>
      <c r="N54" s="5" t="s">
        <v>56</v>
      </c>
    </row>
    <row r="55" spans="1:14" s="5" customFormat="1" ht="19.899999999999999" customHeight="1">
      <c r="A55" s="340"/>
      <c r="B55" s="293">
        <v>1</v>
      </c>
      <c r="C55" s="294">
        <v>2</v>
      </c>
      <c r="D55" s="294">
        <v>3</v>
      </c>
      <c r="E55" s="294">
        <v>4</v>
      </c>
      <c r="F55" s="294">
        <v>5</v>
      </c>
      <c r="G55" s="294">
        <v>6</v>
      </c>
      <c r="H55" s="294">
        <v>7</v>
      </c>
      <c r="I55" s="295">
        <v>8</v>
      </c>
      <c r="J55" s="295">
        <v>9</v>
      </c>
      <c r="K55" s="341">
        <v>10</v>
      </c>
      <c r="L55" s="342" t="s">
        <v>147</v>
      </c>
      <c r="M55" s="6"/>
      <c r="N55" s="16">
        <v>0</v>
      </c>
    </row>
    <row r="56" spans="1:14" s="5" customFormat="1" ht="19.899999999999999" customHeight="1">
      <c r="A56" s="190" t="s">
        <v>28</v>
      </c>
      <c r="B56" s="343">
        <f t="shared" ref="B56:K56" si="6">$B$28*$C$28*(B$53*$E$28)</f>
        <v>64453.125</v>
      </c>
      <c r="C56" s="343">
        <f t="shared" si="6"/>
        <v>128906.25</v>
      </c>
      <c r="D56" s="343">
        <f t="shared" si="6"/>
        <v>257812.5</v>
      </c>
      <c r="E56" s="343">
        <f t="shared" si="6"/>
        <v>515625</v>
      </c>
      <c r="F56" s="343">
        <f t="shared" si="6"/>
        <v>1031250</v>
      </c>
      <c r="G56" s="343">
        <f t="shared" si="6"/>
        <v>2062500</v>
      </c>
      <c r="H56" s="343">
        <f t="shared" si="6"/>
        <v>4125000</v>
      </c>
      <c r="I56" s="343">
        <f t="shared" si="6"/>
        <v>8250000</v>
      </c>
      <c r="J56" s="343">
        <f t="shared" si="6"/>
        <v>16500000</v>
      </c>
      <c r="K56" s="344">
        <f t="shared" si="6"/>
        <v>33000000</v>
      </c>
      <c r="L56" s="343">
        <f>SUM(B56:K56)</f>
        <v>65935546.875</v>
      </c>
      <c r="M56" s="6"/>
      <c r="N56" s="16">
        <v>1</v>
      </c>
    </row>
    <row r="57" spans="1:14" s="5" customFormat="1" ht="19.899999999999999" customHeight="1">
      <c r="A57" s="190" t="s">
        <v>29</v>
      </c>
      <c r="B57" s="191"/>
      <c r="C57" s="343">
        <f>B56</f>
        <v>64453.125</v>
      </c>
      <c r="D57" s="343">
        <f t="shared" ref="D57:K63" si="7">C56</f>
        <v>128906.25</v>
      </c>
      <c r="E57" s="343">
        <f t="shared" si="7"/>
        <v>257812.5</v>
      </c>
      <c r="F57" s="343">
        <f t="shared" si="7"/>
        <v>515625</v>
      </c>
      <c r="G57" s="343">
        <f t="shared" si="7"/>
        <v>1031250</v>
      </c>
      <c r="H57" s="343">
        <f t="shared" si="7"/>
        <v>2062500</v>
      </c>
      <c r="I57" s="343">
        <f t="shared" si="7"/>
        <v>4125000</v>
      </c>
      <c r="J57" s="343">
        <f t="shared" si="7"/>
        <v>8250000</v>
      </c>
      <c r="K57" s="344">
        <f t="shared" si="7"/>
        <v>16500000</v>
      </c>
      <c r="L57" s="343">
        <f t="shared" ref="L57:L65" si="8">SUM(B57:K57)</f>
        <v>32935546.875</v>
      </c>
      <c r="M57" s="6"/>
      <c r="N57" s="16">
        <v>2</v>
      </c>
    </row>
    <row r="58" spans="1:14" s="5" customFormat="1" ht="19.899999999999999" customHeight="1">
      <c r="A58" s="190" t="s">
        <v>30</v>
      </c>
      <c r="B58" s="191"/>
      <c r="C58" s="343"/>
      <c r="D58" s="343">
        <f>C57</f>
        <v>64453.125</v>
      </c>
      <c r="E58" s="343">
        <f t="shared" si="7"/>
        <v>128906.25</v>
      </c>
      <c r="F58" s="343">
        <f t="shared" si="7"/>
        <v>257812.5</v>
      </c>
      <c r="G58" s="343">
        <f t="shared" si="7"/>
        <v>515625</v>
      </c>
      <c r="H58" s="343">
        <f t="shared" si="7"/>
        <v>1031250</v>
      </c>
      <c r="I58" s="343">
        <f t="shared" si="7"/>
        <v>2062500</v>
      </c>
      <c r="J58" s="343">
        <f t="shared" si="7"/>
        <v>4125000</v>
      </c>
      <c r="K58" s="344">
        <f t="shared" si="7"/>
        <v>8250000</v>
      </c>
      <c r="L58" s="343">
        <f t="shared" si="8"/>
        <v>16435546.875</v>
      </c>
      <c r="M58" s="345"/>
      <c r="N58" s="16">
        <v>3</v>
      </c>
    </row>
    <row r="59" spans="1:14" s="5" customFormat="1" ht="19.899999999999999" customHeight="1">
      <c r="A59" s="190" t="s">
        <v>31</v>
      </c>
      <c r="B59" s="191"/>
      <c r="C59" s="343"/>
      <c r="D59" s="343"/>
      <c r="E59" s="343">
        <f>D58</f>
        <v>64453.125</v>
      </c>
      <c r="F59" s="343">
        <f t="shared" si="7"/>
        <v>128906.25</v>
      </c>
      <c r="G59" s="343">
        <f t="shared" si="7"/>
        <v>257812.5</v>
      </c>
      <c r="H59" s="343">
        <f t="shared" si="7"/>
        <v>515625</v>
      </c>
      <c r="I59" s="343">
        <f t="shared" si="7"/>
        <v>1031250</v>
      </c>
      <c r="J59" s="343">
        <f t="shared" si="7"/>
        <v>2062500</v>
      </c>
      <c r="K59" s="344">
        <f t="shared" si="7"/>
        <v>4125000</v>
      </c>
      <c r="L59" s="343">
        <f t="shared" si="8"/>
        <v>8185546.875</v>
      </c>
      <c r="M59" s="345"/>
      <c r="N59" s="16">
        <v>4</v>
      </c>
    </row>
    <row r="60" spans="1:14" s="5" customFormat="1" ht="19.899999999999999" customHeight="1">
      <c r="A60" s="190" t="s">
        <v>32</v>
      </c>
      <c r="B60" s="191"/>
      <c r="C60" s="343"/>
      <c r="D60" s="343"/>
      <c r="E60" s="343"/>
      <c r="F60" s="343">
        <f>E59</f>
        <v>64453.125</v>
      </c>
      <c r="G60" s="343">
        <f t="shared" si="7"/>
        <v>128906.25</v>
      </c>
      <c r="H60" s="343">
        <f t="shared" si="7"/>
        <v>257812.5</v>
      </c>
      <c r="I60" s="343">
        <f t="shared" si="7"/>
        <v>515625</v>
      </c>
      <c r="J60" s="343">
        <f t="shared" si="7"/>
        <v>1031250</v>
      </c>
      <c r="K60" s="344">
        <f t="shared" si="7"/>
        <v>2062500</v>
      </c>
      <c r="L60" s="343">
        <f t="shared" si="8"/>
        <v>4060546.875</v>
      </c>
      <c r="M60" s="345"/>
      <c r="N60" s="16">
        <v>5</v>
      </c>
    </row>
    <row r="61" spans="1:14" s="5" customFormat="1" ht="19.899999999999999" customHeight="1">
      <c r="A61" s="190" t="s">
        <v>33</v>
      </c>
      <c r="B61" s="191"/>
      <c r="C61" s="343"/>
      <c r="D61" s="343"/>
      <c r="E61" s="343"/>
      <c r="F61" s="343"/>
      <c r="G61" s="343">
        <f>F60</f>
        <v>64453.125</v>
      </c>
      <c r="H61" s="343">
        <f t="shared" si="7"/>
        <v>128906.25</v>
      </c>
      <c r="I61" s="343">
        <f t="shared" si="7"/>
        <v>257812.5</v>
      </c>
      <c r="J61" s="343">
        <f t="shared" si="7"/>
        <v>515625</v>
      </c>
      <c r="K61" s="344">
        <f t="shared" si="7"/>
        <v>1031250</v>
      </c>
      <c r="L61" s="343">
        <f t="shared" si="8"/>
        <v>1998046.875</v>
      </c>
      <c r="M61" s="345"/>
      <c r="N61" s="16">
        <v>6</v>
      </c>
    </row>
    <row r="62" spans="1:14" s="5" customFormat="1" ht="19.899999999999999" customHeight="1">
      <c r="A62" s="190" t="s">
        <v>34</v>
      </c>
      <c r="B62" s="191"/>
      <c r="C62" s="343"/>
      <c r="D62" s="343"/>
      <c r="E62" s="343"/>
      <c r="F62" s="343"/>
      <c r="G62" s="343"/>
      <c r="H62" s="343">
        <f>G61</f>
        <v>64453.125</v>
      </c>
      <c r="I62" s="343">
        <f t="shared" si="7"/>
        <v>128906.25</v>
      </c>
      <c r="J62" s="343">
        <f t="shared" si="7"/>
        <v>257812.5</v>
      </c>
      <c r="K62" s="344">
        <f t="shared" si="7"/>
        <v>515625</v>
      </c>
      <c r="L62" s="343">
        <f t="shared" si="8"/>
        <v>966796.875</v>
      </c>
      <c r="M62" s="345"/>
      <c r="N62" s="346">
        <v>7</v>
      </c>
    </row>
    <row r="63" spans="1:14" s="5" customFormat="1" ht="19.899999999999999" customHeight="1">
      <c r="A63" s="190" t="s">
        <v>35</v>
      </c>
      <c r="B63" s="191"/>
      <c r="C63" s="343"/>
      <c r="D63" s="343"/>
      <c r="E63" s="343"/>
      <c r="F63" s="343"/>
      <c r="G63" s="343"/>
      <c r="H63" s="343"/>
      <c r="I63" s="343">
        <f>H62</f>
        <v>64453.125</v>
      </c>
      <c r="J63" s="343">
        <f t="shared" si="7"/>
        <v>128906.25</v>
      </c>
      <c r="K63" s="344">
        <f t="shared" si="7"/>
        <v>257812.5</v>
      </c>
      <c r="L63" s="343">
        <f t="shared" si="8"/>
        <v>451171.875</v>
      </c>
      <c r="M63" s="345"/>
      <c r="N63" s="151">
        <v>8</v>
      </c>
    </row>
    <row r="64" spans="1:14" s="5" customFormat="1" ht="19.899999999999999" customHeight="1">
      <c r="A64" s="190" t="s">
        <v>36</v>
      </c>
      <c r="B64" s="191"/>
      <c r="C64" s="343"/>
      <c r="D64" s="343"/>
      <c r="E64" s="343"/>
      <c r="F64" s="343"/>
      <c r="G64" s="343"/>
      <c r="H64" s="343"/>
      <c r="I64" s="343"/>
      <c r="J64" s="343">
        <f>I63</f>
        <v>64453.125</v>
      </c>
      <c r="K64" s="344">
        <f>J63</f>
        <v>128906.25</v>
      </c>
      <c r="L64" s="343">
        <f t="shared" si="8"/>
        <v>193359.375</v>
      </c>
      <c r="M64" s="345"/>
      <c r="N64" s="151">
        <v>9</v>
      </c>
    </row>
    <row r="65" spans="1:14" s="5" customFormat="1" ht="19.899999999999999" customHeight="1">
      <c r="A65" s="347" t="s">
        <v>37</v>
      </c>
      <c r="B65" s="348"/>
      <c r="C65" s="348"/>
      <c r="D65" s="348"/>
      <c r="E65" s="348"/>
      <c r="F65" s="348"/>
      <c r="G65" s="348"/>
      <c r="H65" s="348"/>
      <c r="I65" s="348"/>
      <c r="J65" s="348"/>
      <c r="K65" s="349">
        <f>J64</f>
        <v>64453.125</v>
      </c>
      <c r="L65" s="350">
        <f t="shared" si="8"/>
        <v>64453.125</v>
      </c>
      <c r="M65" s="345"/>
      <c r="N65" s="151">
        <v>10</v>
      </c>
    </row>
    <row r="66" spans="1:14" s="5" customFormat="1" ht="19.899999999999999" customHeight="1">
      <c r="A66" s="138" t="s">
        <v>1217</v>
      </c>
      <c r="B66" s="351">
        <f>SUM(B56:B65)</f>
        <v>64453.125</v>
      </c>
      <c r="C66" s="351">
        <f t="shared" ref="C66:K66" si="9">SUM(C56:C65)</f>
        <v>193359.375</v>
      </c>
      <c r="D66" s="351">
        <f t="shared" si="9"/>
        <v>451171.875</v>
      </c>
      <c r="E66" s="351">
        <f t="shared" si="9"/>
        <v>966796.875</v>
      </c>
      <c r="F66" s="351">
        <f t="shared" si="9"/>
        <v>1998046.875</v>
      </c>
      <c r="G66" s="351">
        <f t="shared" si="9"/>
        <v>4060546.875</v>
      </c>
      <c r="H66" s="351">
        <f t="shared" si="9"/>
        <v>8185546.875</v>
      </c>
      <c r="I66" s="351">
        <f t="shared" si="9"/>
        <v>16435546.875</v>
      </c>
      <c r="J66" s="351">
        <f t="shared" si="9"/>
        <v>32935546.875</v>
      </c>
      <c r="K66" s="352">
        <f t="shared" si="9"/>
        <v>65935546.875</v>
      </c>
      <c r="L66" s="343">
        <f>SUM(B66:K66)</f>
        <v>131226562.5</v>
      </c>
      <c r="M66" s="353">
        <f>SUM(L56:L65)</f>
        <v>131226562.5</v>
      </c>
      <c r="N66" s="336"/>
    </row>
    <row r="67" spans="1:14" s="5" customFormat="1" ht="19.899999999999999" customHeight="1" thickBot="1">
      <c r="A67" s="354" t="s">
        <v>1215</v>
      </c>
      <c r="B67" s="355">
        <f t="shared" ref="B67:K67" si="10">+B66/((1+$B$23)^B$32)</f>
        <v>61974.158653846149</v>
      </c>
      <c r="C67" s="355">
        <f t="shared" si="10"/>
        <v>178771.61150147926</v>
      </c>
      <c r="D67" s="355">
        <f t="shared" si="10"/>
        <v>401090.15400972916</v>
      </c>
      <c r="E67" s="355">
        <f t="shared" si="10"/>
        <v>826422.02062444179</v>
      </c>
      <c r="F67" s="355">
        <f t="shared" si="10"/>
        <v>1642248.8871383138</v>
      </c>
      <c r="G67" s="355">
        <f t="shared" si="10"/>
        <v>3209109.1777206501</v>
      </c>
      <c r="H67" s="355">
        <f t="shared" si="10"/>
        <v>6220342.8811129825</v>
      </c>
      <c r="I67" s="355">
        <f t="shared" si="10"/>
        <v>12009293.115413465</v>
      </c>
      <c r="J67" s="355">
        <f t="shared" si="10"/>
        <v>23140078.363409802</v>
      </c>
      <c r="K67" s="356">
        <f t="shared" si="10"/>
        <v>44543692.920683853</v>
      </c>
      <c r="L67" s="355">
        <f>SUM(B67:K67)</f>
        <v>92233023.29026857</v>
      </c>
      <c r="M67" s="345"/>
      <c r="N67" s="336"/>
    </row>
    <row r="68" spans="1:14" s="5" customFormat="1" ht="19.899999999999999" customHeight="1">
      <c r="A68" s="357"/>
      <c r="B68" s="358"/>
      <c r="C68" s="358"/>
      <c r="D68" s="358"/>
      <c r="E68" s="358"/>
      <c r="F68" s="358"/>
      <c r="G68" s="358"/>
      <c r="H68" s="358"/>
      <c r="I68" s="358"/>
      <c r="J68" s="358"/>
      <c r="K68" s="358"/>
      <c r="L68" s="358"/>
      <c r="N68" s="6"/>
    </row>
    <row r="69" spans="1:14" s="5" customFormat="1" ht="19.899999999999999" customHeight="1">
      <c r="A69" s="357"/>
      <c r="B69" s="358"/>
      <c r="C69" s="358"/>
      <c r="D69" s="358"/>
      <c r="E69" s="358"/>
      <c r="F69" s="358"/>
      <c r="G69" s="358"/>
      <c r="H69" s="358"/>
      <c r="I69" s="358"/>
      <c r="J69" s="358"/>
      <c r="K69" s="358"/>
      <c r="L69" s="358"/>
      <c r="N69" s="6"/>
    </row>
    <row r="70" spans="1:14" s="5" customFormat="1" ht="19.899999999999999" customHeight="1">
      <c r="A70" s="287" t="s">
        <v>73</v>
      </c>
      <c r="B70" s="236"/>
      <c r="C70" s="313"/>
      <c r="D70" s="166"/>
      <c r="E70" s="166"/>
      <c r="F70" s="313"/>
      <c r="G70" s="314"/>
      <c r="H70" s="6"/>
      <c r="M70" s="6"/>
      <c r="N70" s="6"/>
    </row>
    <row r="71" spans="1:14" s="5" customFormat="1" ht="19.899999999999999" customHeight="1">
      <c r="A71" s="9" t="s">
        <v>58</v>
      </c>
      <c r="B71" s="236"/>
      <c r="C71" s="313"/>
      <c r="D71" s="166"/>
      <c r="E71" s="166"/>
      <c r="F71" s="313"/>
      <c r="G71" s="314"/>
      <c r="H71" s="6"/>
      <c r="I71" s="6"/>
      <c r="J71" s="6"/>
      <c r="K71" s="6"/>
      <c r="L71" s="6"/>
      <c r="M71" s="6"/>
      <c r="N71" s="6"/>
    </row>
    <row r="72" spans="1:14" s="5" customFormat="1" ht="19.899999999999999" customHeight="1">
      <c r="A72" s="9" t="s">
        <v>59</v>
      </c>
      <c r="B72" s="236"/>
      <c r="C72" s="313"/>
      <c r="D72" s="166"/>
      <c r="E72" s="166"/>
      <c r="F72" s="313"/>
      <c r="G72" s="314"/>
      <c r="H72" s="6"/>
    </row>
    <row r="73" spans="1:14" s="5" customFormat="1" ht="19.899999999999999" customHeight="1">
      <c r="A73" s="9"/>
      <c r="B73" s="236"/>
      <c r="C73" s="313"/>
      <c r="D73" s="166"/>
      <c r="E73" s="166"/>
      <c r="F73" s="313"/>
      <c r="G73" s="314"/>
      <c r="H73" s="6"/>
    </row>
    <row r="74" spans="1:14" s="5" customFormat="1" ht="19.899999999999999" customHeight="1">
      <c r="A74" s="287" t="s">
        <v>1220</v>
      </c>
      <c r="B74" s="236"/>
      <c r="C74" s="313"/>
      <c r="D74" s="166"/>
      <c r="E74" s="166"/>
      <c r="F74" s="313"/>
      <c r="G74" s="314"/>
      <c r="H74" s="6"/>
    </row>
    <row r="75" spans="1:14" s="5" customFormat="1" ht="19.899999999999999" customHeight="1">
      <c r="A75" s="316" t="s">
        <v>60</v>
      </c>
      <c r="B75" s="236"/>
      <c r="C75" s="313"/>
      <c r="D75" s="166"/>
      <c r="E75" s="166"/>
      <c r="F75" s="313"/>
      <c r="G75" s="314"/>
      <c r="H75" s="6"/>
    </row>
    <row r="76" spans="1:14" s="5" customFormat="1" ht="19.899999999999999" customHeight="1">
      <c r="A76" s="316" t="s">
        <v>52</v>
      </c>
      <c r="B76" s="236"/>
      <c r="C76" s="313"/>
      <c r="D76" s="166"/>
      <c r="E76" s="166"/>
      <c r="F76" s="313"/>
      <c r="G76" s="314"/>
      <c r="H76" s="6"/>
    </row>
    <row r="77" spans="1:14" s="5" customFormat="1" ht="19.899999999999999" customHeight="1"/>
    <row r="78" spans="1:14" s="5" customFormat="1" ht="19.899999999999999" customHeight="1" thickBot="1">
      <c r="A78" s="297" t="s">
        <v>61</v>
      </c>
      <c r="B78" s="296">
        <f t="shared" ref="B78:I78" si="11">C78*0.5</f>
        <v>1.953125E-3</v>
      </c>
      <c r="C78" s="296">
        <f t="shared" si="11"/>
        <v>3.90625E-3</v>
      </c>
      <c r="D78" s="296">
        <f t="shared" si="11"/>
        <v>7.8125E-3</v>
      </c>
      <c r="E78" s="296">
        <f t="shared" si="11"/>
        <v>1.5625E-2</v>
      </c>
      <c r="F78" s="296">
        <f t="shared" si="11"/>
        <v>3.125E-2</v>
      </c>
      <c r="G78" s="296">
        <f t="shared" si="11"/>
        <v>6.25E-2</v>
      </c>
      <c r="H78" s="296">
        <f t="shared" si="11"/>
        <v>0.125</v>
      </c>
      <c r="I78" s="296">
        <f t="shared" si="11"/>
        <v>0.25</v>
      </c>
      <c r="J78" s="296">
        <f>K78*0.5</f>
        <v>0.5</v>
      </c>
      <c r="K78" s="296">
        <f>D28*100</f>
        <v>1</v>
      </c>
      <c r="L78" s="337"/>
    </row>
    <row r="79" spans="1:14" s="5" customFormat="1" ht="19.899999999999999" customHeight="1">
      <c r="A79" s="338"/>
      <c r="B79" s="696" t="s">
        <v>56</v>
      </c>
      <c r="C79" s="697"/>
      <c r="D79" s="697"/>
      <c r="E79" s="697"/>
      <c r="F79" s="697"/>
      <c r="G79" s="697"/>
      <c r="H79" s="697"/>
      <c r="I79" s="697"/>
      <c r="J79" s="697"/>
      <c r="K79" s="698"/>
      <c r="L79" s="339"/>
    </row>
    <row r="80" spans="1:14" s="5" customFormat="1" ht="19.899999999999999" customHeight="1">
      <c r="A80" s="340" t="s">
        <v>1226</v>
      </c>
      <c r="B80" s="293">
        <v>1</v>
      </c>
      <c r="C80" s="294">
        <v>2</v>
      </c>
      <c r="D80" s="294">
        <v>3</v>
      </c>
      <c r="E80" s="294">
        <v>4</v>
      </c>
      <c r="F80" s="294">
        <v>5</v>
      </c>
      <c r="G80" s="294">
        <v>6</v>
      </c>
      <c r="H80" s="294">
        <v>7</v>
      </c>
      <c r="I80" s="295">
        <v>8</v>
      </c>
      <c r="J80" s="295">
        <v>9</v>
      </c>
      <c r="K80" s="341">
        <v>10</v>
      </c>
      <c r="L80" s="342" t="s">
        <v>147</v>
      </c>
      <c r="M80" s="7"/>
    </row>
    <row r="81" spans="1:13" s="5" customFormat="1" ht="19.899999999999999" customHeight="1">
      <c r="A81" s="359" t="s">
        <v>38</v>
      </c>
      <c r="B81" s="343">
        <f>$B$39*$C$39*(B$78*$E$39)*(1-$F$39)</f>
        <v>58007.8125</v>
      </c>
      <c r="C81" s="343">
        <f>$B$39*$C$39*(C$78*$E$39)*(1-$F$39)</f>
        <v>116015.625</v>
      </c>
      <c r="D81" s="343">
        <f t="shared" ref="D81:H81" si="12">$B$39*$C$39*(D$78*$E$39)*(1-$F$39)</f>
        <v>232031.25</v>
      </c>
      <c r="E81" s="343">
        <f t="shared" si="12"/>
        <v>464062.5</v>
      </c>
      <c r="F81" s="343">
        <f t="shared" si="12"/>
        <v>928125</v>
      </c>
      <c r="G81" s="343">
        <f t="shared" si="12"/>
        <v>1856250</v>
      </c>
      <c r="H81" s="343">
        <f t="shared" si="12"/>
        <v>3712500</v>
      </c>
      <c r="I81" s="343">
        <f t="shared" ref="I81:K81" si="13">$B$39*$C$39*(I$78*$E$39)*(1-$F$39)</f>
        <v>7425000</v>
      </c>
      <c r="J81" s="343">
        <f t="shared" si="13"/>
        <v>14850000</v>
      </c>
      <c r="K81" s="360">
        <f t="shared" si="13"/>
        <v>29700000</v>
      </c>
      <c r="L81" s="343">
        <f>SUM(B81:K81)</f>
        <v>59341992.1875</v>
      </c>
      <c r="M81" s="6"/>
    </row>
    <row r="82" spans="1:13" s="5" customFormat="1" ht="19.899999999999999" customHeight="1">
      <c r="A82" s="190" t="s">
        <v>39</v>
      </c>
      <c r="B82" s="191"/>
      <c r="C82" s="343">
        <f>B81</f>
        <v>58007.8125</v>
      </c>
      <c r="D82" s="343">
        <f t="shared" ref="D82" si="14">C81</f>
        <v>116015.625</v>
      </c>
      <c r="E82" s="343">
        <f t="shared" ref="E82:E83" si="15">D81</f>
        <v>232031.25</v>
      </c>
      <c r="F82" s="343">
        <f t="shared" ref="F82:F84" si="16">E81</f>
        <v>464062.5</v>
      </c>
      <c r="G82" s="343">
        <f t="shared" ref="G82:G85" si="17">F81</f>
        <v>928125</v>
      </c>
      <c r="H82" s="343">
        <f t="shared" ref="H82:H86" si="18">G81</f>
        <v>1856250</v>
      </c>
      <c r="I82" s="343">
        <f t="shared" ref="I82:I87" si="19">H81</f>
        <v>3712500</v>
      </c>
      <c r="J82" s="343">
        <f t="shared" ref="J82:J88" si="20">I81</f>
        <v>7425000</v>
      </c>
      <c r="K82" s="344">
        <f t="shared" ref="K82:K88" si="21">J81</f>
        <v>14850000</v>
      </c>
      <c r="L82" s="343">
        <f t="shared" ref="L82:L90" si="22">SUM(B82:K82)</f>
        <v>29641992.1875</v>
      </c>
      <c r="M82" s="6"/>
    </row>
    <row r="83" spans="1:13" s="5" customFormat="1" ht="19.899999999999999" customHeight="1">
      <c r="A83" s="190" t="s">
        <v>40</v>
      </c>
      <c r="B83" s="191"/>
      <c r="C83" s="343"/>
      <c r="D83" s="343">
        <f>C82</f>
        <v>58007.8125</v>
      </c>
      <c r="E83" s="343">
        <f t="shared" si="15"/>
        <v>116015.625</v>
      </c>
      <c r="F83" s="343">
        <f t="shared" si="16"/>
        <v>232031.25</v>
      </c>
      <c r="G83" s="343">
        <f t="shared" si="17"/>
        <v>464062.5</v>
      </c>
      <c r="H83" s="343">
        <f t="shared" si="18"/>
        <v>928125</v>
      </c>
      <c r="I83" s="343">
        <f t="shared" si="19"/>
        <v>1856250</v>
      </c>
      <c r="J83" s="343">
        <f t="shared" si="20"/>
        <v>3712500</v>
      </c>
      <c r="K83" s="344">
        <f t="shared" si="21"/>
        <v>7425000</v>
      </c>
      <c r="L83" s="343">
        <f t="shared" si="22"/>
        <v>14791992.1875</v>
      </c>
      <c r="M83" s="6"/>
    </row>
    <row r="84" spans="1:13" s="5" customFormat="1" ht="19.899999999999999" customHeight="1">
      <c r="A84" s="190" t="s">
        <v>41</v>
      </c>
      <c r="B84" s="191"/>
      <c r="C84" s="343"/>
      <c r="D84" s="343"/>
      <c r="E84" s="343">
        <f>D83</f>
        <v>58007.8125</v>
      </c>
      <c r="F84" s="343">
        <f t="shared" si="16"/>
        <v>116015.625</v>
      </c>
      <c r="G84" s="343">
        <f t="shared" si="17"/>
        <v>232031.25</v>
      </c>
      <c r="H84" s="343">
        <f t="shared" si="18"/>
        <v>464062.5</v>
      </c>
      <c r="I84" s="343">
        <f t="shared" si="19"/>
        <v>928125</v>
      </c>
      <c r="J84" s="343">
        <f t="shared" si="20"/>
        <v>1856250</v>
      </c>
      <c r="K84" s="344">
        <f t="shared" si="21"/>
        <v>3712500</v>
      </c>
      <c r="L84" s="343">
        <f t="shared" si="22"/>
        <v>7366992.1875</v>
      </c>
      <c r="M84" s="6"/>
    </row>
    <row r="85" spans="1:13" s="5" customFormat="1" ht="19.899999999999999" customHeight="1">
      <c r="A85" s="190" t="s">
        <v>42</v>
      </c>
      <c r="B85" s="191"/>
      <c r="C85" s="343"/>
      <c r="D85" s="343"/>
      <c r="E85" s="343"/>
      <c r="F85" s="343">
        <f>E84</f>
        <v>58007.8125</v>
      </c>
      <c r="G85" s="343">
        <f t="shared" si="17"/>
        <v>116015.625</v>
      </c>
      <c r="H85" s="343">
        <f t="shared" si="18"/>
        <v>232031.25</v>
      </c>
      <c r="I85" s="343">
        <f t="shared" si="19"/>
        <v>464062.5</v>
      </c>
      <c r="J85" s="343">
        <f t="shared" si="20"/>
        <v>928125</v>
      </c>
      <c r="K85" s="344">
        <f t="shared" si="21"/>
        <v>1856250</v>
      </c>
      <c r="L85" s="343">
        <f t="shared" si="22"/>
        <v>3654492.1875</v>
      </c>
      <c r="M85" s="336"/>
    </row>
    <row r="86" spans="1:13" s="5" customFormat="1" ht="19.899999999999999" customHeight="1">
      <c r="A86" s="190" t="s">
        <v>43</v>
      </c>
      <c r="B86" s="191"/>
      <c r="C86" s="343"/>
      <c r="D86" s="343"/>
      <c r="E86" s="343"/>
      <c r="F86" s="343"/>
      <c r="G86" s="343">
        <f>F85</f>
        <v>58007.8125</v>
      </c>
      <c r="H86" s="343">
        <f t="shared" si="18"/>
        <v>116015.625</v>
      </c>
      <c r="I86" s="343">
        <f t="shared" si="19"/>
        <v>232031.25</v>
      </c>
      <c r="J86" s="343">
        <f t="shared" si="20"/>
        <v>464062.5</v>
      </c>
      <c r="K86" s="344">
        <f t="shared" si="21"/>
        <v>928125</v>
      </c>
      <c r="L86" s="343">
        <f t="shared" si="22"/>
        <v>1798242.1875</v>
      </c>
      <c r="M86" s="336"/>
    </row>
    <row r="87" spans="1:13" s="5" customFormat="1" ht="19.899999999999999" customHeight="1">
      <c r="A87" s="190" t="s">
        <v>44</v>
      </c>
      <c r="B87" s="191"/>
      <c r="C87" s="343"/>
      <c r="D87" s="343"/>
      <c r="E87" s="343"/>
      <c r="F87" s="343"/>
      <c r="G87" s="343"/>
      <c r="H87" s="343">
        <f>G86</f>
        <v>58007.8125</v>
      </c>
      <c r="I87" s="343">
        <f t="shared" si="19"/>
        <v>116015.625</v>
      </c>
      <c r="J87" s="343">
        <f t="shared" si="20"/>
        <v>232031.25</v>
      </c>
      <c r="K87" s="344">
        <f t="shared" si="21"/>
        <v>464062.5</v>
      </c>
      <c r="L87" s="343">
        <f t="shared" si="22"/>
        <v>870117.1875</v>
      </c>
      <c r="M87" s="336"/>
    </row>
    <row r="88" spans="1:13" s="5" customFormat="1" ht="19.899999999999999" customHeight="1">
      <c r="A88" s="190" t="s">
        <v>45</v>
      </c>
      <c r="B88" s="191"/>
      <c r="C88" s="343"/>
      <c r="D88" s="343"/>
      <c r="E88" s="343"/>
      <c r="F88" s="343"/>
      <c r="G88" s="343"/>
      <c r="H88" s="343"/>
      <c r="I88" s="343">
        <f>H87</f>
        <v>58007.8125</v>
      </c>
      <c r="J88" s="343">
        <f t="shared" si="20"/>
        <v>116015.625</v>
      </c>
      <c r="K88" s="344">
        <f t="shared" si="21"/>
        <v>232031.25</v>
      </c>
      <c r="L88" s="343">
        <f t="shared" si="22"/>
        <v>406054.6875</v>
      </c>
      <c r="M88" s="336"/>
    </row>
    <row r="89" spans="1:13" s="5" customFormat="1" ht="19.899999999999999" customHeight="1">
      <c r="A89" s="190" t="s">
        <v>46</v>
      </c>
      <c r="B89" s="191"/>
      <c r="C89" s="343"/>
      <c r="D89" s="343"/>
      <c r="E89" s="343"/>
      <c r="F89" s="343"/>
      <c r="G89" s="343"/>
      <c r="H89" s="343"/>
      <c r="I89" s="343"/>
      <c r="J89" s="343">
        <f>I88</f>
        <v>58007.8125</v>
      </c>
      <c r="K89" s="344">
        <f>J88</f>
        <v>116015.625</v>
      </c>
      <c r="L89" s="343">
        <f t="shared" si="22"/>
        <v>174023.4375</v>
      </c>
      <c r="M89" s="336"/>
    </row>
    <row r="90" spans="1:13" s="5" customFormat="1" ht="19.899999999999999" customHeight="1">
      <c r="A90" s="347" t="s">
        <v>47</v>
      </c>
      <c r="B90" s="348"/>
      <c r="C90" s="348"/>
      <c r="D90" s="348"/>
      <c r="E90" s="348"/>
      <c r="F90" s="348"/>
      <c r="G90" s="348"/>
      <c r="H90" s="348"/>
      <c r="I90" s="348"/>
      <c r="J90" s="348"/>
      <c r="K90" s="349">
        <f>J89</f>
        <v>58007.8125</v>
      </c>
      <c r="L90" s="350">
        <f t="shared" si="22"/>
        <v>58007.8125</v>
      </c>
      <c r="M90" s="336"/>
    </row>
    <row r="91" spans="1:13" s="5" customFormat="1" ht="19.899999999999999" customHeight="1">
      <c r="A91" s="340" t="s">
        <v>1227</v>
      </c>
      <c r="B91" s="351">
        <f>SUM(B81:B90)</f>
        <v>58007.8125</v>
      </c>
      <c r="C91" s="351">
        <f t="shared" ref="C91:K91" si="23">SUM(C81:C90)</f>
        <v>174023.4375</v>
      </c>
      <c r="D91" s="351">
        <f t="shared" si="23"/>
        <v>406054.6875</v>
      </c>
      <c r="E91" s="351">
        <f t="shared" si="23"/>
        <v>870117.1875</v>
      </c>
      <c r="F91" s="351">
        <f t="shared" si="23"/>
        <v>1798242.1875</v>
      </c>
      <c r="G91" s="351">
        <f t="shared" si="23"/>
        <v>3654492.1875</v>
      </c>
      <c r="H91" s="351">
        <f t="shared" si="23"/>
        <v>7366992.1875</v>
      </c>
      <c r="I91" s="351">
        <f t="shared" si="23"/>
        <v>14791992.1875</v>
      </c>
      <c r="J91" s="351">
        <f t="shared" si="23"/>
        <v>29641992.1875</v>
      </c>
      <c r="K91" s="352">
        <f t="shared" si="23"/>
        <v>59341992.1875</v>
      </c>
      <c r="L91" s="343">
        <f>SUM(B91:K91)</f>
        <v>118103906.25</v>
      </c>
      <c r="M91" s="353">
        <f>SUM(L81:L90)</f>
        <v>118103906.25</v>
      </c>
    </row>
    <row r="92" spans="1:13" s="5" customFormat="1" ht="19.899999999999999" customHeight="1" thickBot="1">
      <c r="A92" s="354" t="s">
        <v>1215</v>
      </c>
      <c r="B92" s="355">
        <v>35896.823593656911</v>
      </c>
      <c r="C92" s="355">
        <f t="shared" ref="C92:K92" si="24">+C91/((1+$B$23)^C$176)</f>
        <v>160894.45035133135</v>
      </c>
      <c r="D92" s="355">
        <f t="shared" si="24"/>
        <v>360981.13860875624</v>
      </c>
      <c r="E92" s="355">
        <f t="shared" si="24"/>
        <v>743779.81856199761</v>
      </c>
      <c r="F92" s="355">
        <f t="shared" si="24"/>
        <v>1478023.9984244823</v>
      </c>
      <c r="G92" s="355">
        <f t="shared" si="24"/>
        <v>2888198.2599485852</v>
      </c>
      <c r="H92" s="355">
        <f t="shared" si="24"/>
        <v>5598308.5930016842</v>
      </c>
      <c r="I92" s="355">
        <f t="shared" si="24"/>
        <v>10808363.803872118</v>
      </c>
      <c r="J92" s="355">
        <f t="shared" si="24"/>
        <v>20826070.527068824</v>
      </c>
      <c r="K92" s="356">
        <f t="shared" si="24"/>
        <v>40089323.628615469</v>
      </c>
      <c r="L92" s="355">
        <f>SUM(B92:K92)</f>
        <v>82989841.042046905</v>
      </c>
      <c r="M92" s="336"/>
    </row>
    <row r="93" spans="1:13" s="5" customFormat="1" ht="19.899999999999999" customHeight="1">
      <c r="A93" s="357"/>
      <c r="B93" s="191"/>
      <c r="C93" s="191"/>
      <c r="D93" s="191"/>
      <c r="E93" s="191"/>
      <c r="F93" s="191"/>
      <c r="G93" s="191"/>
      <c r="H93" s="191"/>
      <c r="I93" s="191"/>
      <c r="J93" s="191"/>
      <c r="K93" s="191"/>
      <c r="L93" s="191"/>
      <c r="M93" s="336"/>
    </row>
    <row r="94" spans="1:13" s="5" customFormat="1" ht="19.899999999999999" customHeight="1" thickBot="1">
      <c r="A94" s="297" t="s">
        <v>61</v>
      </c>
      <c r="B94" s="296">
        <f t="shared" ref="B94:I94" si="25">C94*0.5</f>
        <v>1.4638112810282529E-3</v>
      </c>
      <c r="C94" s="296">
        <f t="shared" si="25"/>
        <v>2.9276225620565059E-3</v>
      </c>
      <c r="D94" s="296">
        <f t="shared" si="25"/>
        <v>5.8552451241130118E-3</v>
      </c>
      <c r="E94" s="296">
        <f t="shared" si="25"/>
        <v>1.1710490248226024E-2</v>
      </c>
      <c r="F94" s="296">
        <f t="shared" si="25"/>
        <v>2.3420980496452047E-2</v>
      </c>
      <c r="G94" s="296">
        <f t="shared" si="25"/>
        <v>4.6841960992904094E-2</v>
      </c>
      <c r="H94" s="296">
        <f t="shared" si="25"/>
        <v>9.3683921985808188E-2</v>
      </c>
      <c r="I94" s="296">
        <f t="shared" si="25"/>
        <v>0.18736784397161638</v>
      </c>
      <c r="J94" s="296">
        <f>K94*0.5</f>
        <v>0.37473568794323275</v>
      </c>
      <c r="K94" s="296">
        <f>D40*100</f>
        <v>0.74947137588646551</v>
      </c>
      <c r="L94" s="337"/>
    </row>
    <row r="95" spans="1:13" s="5" customFormat="1" ht="19.899999999999999" customHeight="1">
      <c r="A95" s="338"/>
      <c r="B95" s="696" t="s">
        <v>56</v>
      </c>
      <c r="C95" s="697"/>
      <c r="D95" s="697"/>
      <c r="E95" s="697"/>
      <c r="F95" s="697"/>
      <c r="G95" s="697"/>
      <c r="H95" s="697"/>
      <c r="I95" s="697"/>
      <c r="J95" s="697"/>
      <c r="K95" s="698"/>
      <c r="L95" s="339"/>
    </row>
    <row r="96" spans="1:13" ht="19.899999999999999" customHeight="1">
      <c r="A96" s="340" t="s">
        <v>1253</v>
      </c>
      <c r="B96" s="293">
        <v>1</v>
      </c>
      <c r="C96" s="294">
        <v>2</v>
      </c>
      <c r="D96" s="294">
        <v>3</v>
      </c>
      <c r="E96" s="294">
        <v>4</v>
      </c>
      <c r="F96" s="294">
        <v>5</v>
      </c>
      <c r="G96" s="294">
        <v>6</v>
      </c>
      <c r="H96" s="294">
        <v>7</v>
      </c>
      <c r="I96" s="295">
        <v>8</v>
      </c>
      <c r="J96" s="295">
        <v>9</v>
      </c>
      <c r="K96" s="341">
        <v>10</v>
      </c>
      <c r="L96" s="342" t="s">
        <v>147</v>
      </c>
    </row>
    <row r="97" spans="1:14" s="5" customFormat="1" ht="19.899999999999999" customHeight="1">
      <c r="A97" s="359" t="s">
        <v>38</v>
      </c>
      <c r="B97" s="343">
        <f>$B$40*$C$40*(B$94*$E$40)*(1-$F$40)</f>
        <v>32583.414248462119</v>
      </c>
      <c r="C97" s="343">
        <f>$B$40*$C$40*(C$94*$E$40)*(1-$F$40)</f>
        <v>65166.828496924238</v>
      </c>
      <c r="D97" s="343">
        <f t="shared" ref="D97:K97" si="26">$B$40*$C$40*(D$94*$E$40)*(1-$F$40)</f>
        <v>130333.65699384848</v>
      </c>
      <c r="E97" s="343">
        <f t="shared" si="26"/>
        <v>260667.31398769695</v>
      </c>
      <c r="F97" s="343">
        <f t="shared" si="26"/>
        <v>521334.6279753939</v>
      </c>
      <c r="G97" s="343">
        <f t="shared" si="26"/>
        <v>1042669.2559507878</v>
      </c>
      <c r="H97" s="343">
        <f t="shared" si="26"/>
        <v>2085338.5119015756</v>
      </c>
      <c r="I97" s="343">
        <f t="shared" si="26"/>
        <v>4170677.0238031512</v>
      </c>
      <c r="J97" s="343">
        <f t="shared" si="26"/>
        <v>8341354.0476063024</v>
      </c>
      <c r="K97" s="344">
        <f t="shared" si="26"/>
        <v>16682708.095212605</v>
      </c>
      <c r="L97" s="343">
        <f>SUM(B97:K97)</f>
        <v>33332832.776176747</v>
      </c>
      <c r="M97" s="6"/>
      <c r="N97" s="6"/>
    </row>
    <row r="98" spans="1:14" s="5" customFormat="1" ht="19.899999999999999" customHeight="1">
      <c r="A98" s="190" t="s">
        <v>39</v>
      </c>
      <c r="B98" s="191"/>
      <c r="C98" s="343">
        <f>B97</f>
        <v>32583.414248462119</v>
      </c>
      <c r="D98" s="343">
        <f t="shared" ref="D98" si="27">C97</f>
        <v>65166.828496924238</v>
      </c>
      <c r="E98" s="343">
        <f t="shared" ref="E98:E99" si="28">D97</f>
        <v>130333.65699384848</v>
      </c>
      <c r="F98" s="343">
        <f t="shared" ref="F98:F100" si="29">E97</f>
        <v>260667.31398769695</v>
      </c>
      <c r="G98" s="343">
        <f t="shared" ref="G98:G101" si="30">F97</f>
        <v>521334.6279753939</v>
      </c>
      <c r="H98" s="343">
        <f t="shared" ref="H98:H102" si="31">G97</f>
        <v>1042669.2559507878</v>
      </c>
      <c r="I98" s="343">
        <f t="shared" ref="I98:I103" si="32">H97</f>
        <v>2085338.5119015756</v>
      </c>
      <c r="J98" s="343">
        <f t="shared" ref="J98:J104" si="33">I97</f>
        <v>4170677.0238031512</v>
      </c>
      <c r="K98" s="344">
        <f t="shared" ref="K98:K104" si="34">J97</f>
        <v>8341354.0476063024</v>
      </c>
      <c r="L98" s="343">
        <f t="shared" ref="L98:L106" si="35">SUM(B98:K98)</f>
        <v>16650124.680964142</v>
      </c>
      <c r="M98" s="6"/>
      <c r="N98" s="6"/>
    </row>
    <row r="99" spans="1:14" s="5" customFormat="1" ht="19.899999999999999" customHeight="1">
      <c r="A99" s="190" t="s">
        <v>40</v>
      </c>
      <c r="B99" s="191"/>
      <c r="C99" s="343"/>
      <c r="D99" s="343">
        <f>C98</f>
        <v>32583.414248462119</v>
      </c>
      <c r="E99" s="343">
        <f t="shared" si="28"/>
        <v>65166.828496924238</v>
      </c>
      <c r="F99" s="343">
        <f t="shared" si="29"/>
        <v>130333.65699384848</v>
      </c>
      <c r="G99" s="343">
        <f t="shared" si="30"/>
        <v>260667.31398769695</v>
      </c>
      <c r="H99" s="343">
        <f t="shared" si="31"/>
        <v>521334.6279753939</v>
      </c>
      <c r="I99" s="343">
        <f t="shared" si="32"/>
        <v>1042669.2559507878</v>
      </c>
      <c r="J99" s="343">
        <f t="shared" si="33"/>
        <v>2085338.5119015756</v>
      </c>
      <c r="K99" s="344">
        <f t="shared" si="34"/>
        <v>4170677.0238031512</v>
      </c>
      <c r="L99" s="343">
        <f t="shared" si="35"/>
        <v>8308770.6333578406</v>
      </c>
      <c r="M99" s="6"/>
      <c r="N99" s="6"/>
    </row>
    <row r="100" spans="1:14" s="5" customFormat="1" ht="19.899999999999999" customHeight="1">
      <c r="A100" s="190" t="s">
        <v>41</v>
      </c>
      <c r="B100" s="191"/>
      <c r="C100" s="343"/>
      <c r="D100" s="343"/>
      <c r="E100" s="343">
        <f>D99</f>
        <v>32583.414248462119</v>
      </c>
      <c r="F100" s="343">
        <f t="shared" si="29"/>
        <v>65166.828496924238</v>
      </c>
      <c r="G100" s="343">
        <f t="shared" si="30"/>
        <v>130333.65699384848</v>
      </c>
      <c r="H100" s="343">
        <f t="shared" si="31"/>
        <v>260667.31398769695</v>
      </c>
      <c r="I100" s="343">
        <f t="shared" si="32"/>
        <v>521334.6279753939</v>
      </c>
      <c r="J100" s="343">
        <f t="shared" si="33"/>
        <v>1042669.2559507878</v>
      </c>
      <c r="K100" s="344">
        <f t="shared" si="34"/>
        <v>2085338.5119015756</v>
      </c>
      <c r="L100" s="343">
        <f t="shared" si="35"/>
        <v>4138093.6095546894</v>
      </c>
      <c r="M100" s="6"/>
      <c r="N100" s="6"/>
    </row>
    <row r="101" spans="1:14" s="5" customFormat="1" ht="19.899999999999999" customHeight="1">
      <c r="A101" s="190" t="s">
        <v>42</v>
      </c>
      <c r="B101" s="191"/>
      <c r="C101" s="343"/>
      <c r="D101" s="343"/>
      <c r="E101" s="343"/>
      <c r="F101" s="343">
        <f>E100</f>
        <v>32583.414248462119</v>
      </c>
      <c r="G101" s="343">
        <f t="shared" si="30"/>
        <v>65166.828496924238</v>
      </c>
      <c r="H101" s="343">
        <f t="shared" si="31"/>
        <v>130333.65699384848</v>
      </c>
      <c r="I101" s="343">
        <f t="shared" si="32"/>
        <v>260667.31398769695</v>
      </c>
      <c r="J101" s="343">
        <f t="shared" si="33"/>
        <v>521334.6279753939</v>
      </c>
      <c r="K101" s="344">
        <f t="shared" si="34"/>
        <v>1042669.2559507878</v>
      </c>
      <c r="L101" s="343">
        <f t="shared" si="35"/>
        <v>2052755.0976531135</v>
      </c>
      <c r="M101" s="336"/>
      <c r="N101" s="6"/>
    </row>
    <row r="102" spans="1:14" s="5" customFormat="1" ht="19.899999999999999" customHeight="1">
      <c r="A102" s="190" t="s">
        <v>43</v>
      </c>
      <c r="B102" s="191"/>
      <c r="C102" s="343"/>
      <c r="D102" s="343"/>
      <c r="E102" s="343"/>
      <c r="F102" s="343"/>
      <c r="G102" s="343">
        <f>F101</f>
        <v>32583.414248462119</v>
      </c>
      <c r="H102" s="343">
        <f t="shared" si="31"/>
        <v>65166.828496924238</v>
      </c>
      <c r="I102" s="343">
        <f t="shared" si="32"/>
        <v>130333.65699384848</v>
      </c>
      <c r="J102" s="343">
        <f t="shared" si="33"/>
        <v>260667.31398769695</v>
      </c>
      <c r="K102" s="344">
        <f t="shared" si="34"/>
        <v>521334.6279753939</v>
      </c>
      <c r="L102" s="343">
        <f t="shared" si="35"/>
        <v>1010085.8417023257</v>
      </c>
      <c r="M102" s="336"/>
      <c r="N102" s="336"/>
    </row>
    <row r="103" spans="1:14" s="5" customFormat="1" ht="19.899999999999999" customHeight="1">
      <c r="A103" s="190" t="s">
        <v>44</v>
      </c>
      <c r="B103" s="191"/>
      <c r="C103" s="343"/>
      <c r="D103" s="343"/>
      <c r="E103" s="343"/>
      <c r="F103" s="343"/>
      <c r="G103" s="343"/>
      <c r="H103" s="343">
        <f>G102</f>
        <v>32583.414248462119</v>
      </c>
      <c r="I103" s="343">
        <f t="shared" si="32"/>
        <v>65166.828496924238</v>
      </c>
      <c r="J103" s="343">
        <f t="shared" si="33"/>
        <v>130333.65699384848</v>
      </c>
      <c r="K103" s="344">
        <f t="shared" si="34"/>
        <v>260667.31398769695</v>
      </c>
      <c r="L103" s="343">
        <f t="shared" si="35"/>
        <v>488751.21372693178</v>
      </c>
      <c r="M103" s="336"/>
      <c r="N103" s="336"/>
    </row>
    <row r="104" spans="1:14" s="5" customFormat="1" ht="19.899999999999999" customHeight="1">
      <c r="A104" s="190" t="s">
        <v>45</v>
      </c>
      <c r="B104" s="191"/>
      <c r="C104" s="343"/>
      <c r="D104" s="343"/>
      <c r="E104" s="343"/>
      <c r="F104" s="343"/>
      <c r="G104" s="343"/>
      <c r="H104" s="343"/>
      <c r="I104" s="343">
        <f>H103</f>
        <v>32583.414248462119</v>
      </c>
      <c r="J104" s="343">
        <f t="shared" si="33"/>
        <v>65166.828496924238</v>
      </c>
      <c r="K104" s="344">
        <f t="shared" si="34"/>
        <v>130333.65699384848</v>
      </c>
      <c r="L104" s="343">
        <f t="shared" si="35"/>
        <v>228083.89973923482</v>
      </c>
      <c r="M104" s="336"/>
      <c r="N104" s="336"/>
    </row>
    <row r="105" spans="1:14" s="5" customFormat="1" ht="19.899999999999999" customHeight="1">
      <c r="A105" s="190" t="s">
        <v>46</v>
      </c>
      <c r="B105" s="191"/>
      <c r="C105" s="343"/>
      <c r="D105" s="343"/>
      <c r="E105" s="343"/>
      <c r="F105" s="343"/>
      <c r="G105" s="343"/>
      <c r="H105" s="343"/>
      <c r="I105" s="343"/>
      <c r="J105" s="343">
        <f>I104</f>
        <v>32583.414248462119</v>
      </c>
      <c r="K105" s="344">
        <f>J104</f>
        <v>65166.828496924238</v>
      </c>
      <c r="L105" s="343">
        <f t="shared" si="35"/>
        <v>97750.242745386349</v>
      </c>
      <c r="M105" s="336"/>
      <c r="N105" s="336"/>
    </row>
    <row r="106" spans="1:14" s="5" customFormat="1" ht="19.899999999999999" customHeight="1">
      <c r="A106" s="347" t="s">
        <v>47</v>
      </c>
      <c r="B106" s="348"/>
      <c r="C106" s="348"/>
      <c r="D106" s="348"/>
      <c r="E106" s="348"/>
      <c r="F106" s="348"/>
      <c r="G106" s="348"/>
      <c r="H106" s="348"/>
      <c r="I106" s="348"/>
      <c r="J106" s="348"/>
      <c r="K106" s="349">
        <f>J105</f>
        <v>32583.414248462119</v>
      </c>
      <c r="L106" s="350">
        <f t="shared" si="35"/>
        <v>32583.414248462119</v>
      </c>
      <c r="M106" s="336"/>
      <c r="N106" s="336"/>
    </row>
    <row r="107" spans="1:14" s="5" customFormat="1" ht="19.899999999999999" customHeight="1">
      <c r="A107" s="340" t="s">
        <v>1225</v>
      </c>
      <c r="B107" s="351">
        <f>SUM(B97:B106)</f>
        <v>32583.414248462119</v>
      </c>
      <c r="C107" s="351">
        <f t="shared" ref="C107:K107" si="36">SUM(C97:C106)</f>
        <v>97750.242745386349</v>
      </c>
      <c r="D107" s="351">
        <f t="shared" si="36"/>
        <v>228083.89973923482</v>
      </c>
      <c r="E107" s="351">
        <f t="shared" si="36"/>
        <v>488751.21372693178</v>
      </c>
      <c r="F107" s="351">
        <f t="shared" si="36"/>
        <v>1010085.8417023256</v>
      </c>
      <c r="G107" s="351">
        <f t="shared" si="36"/>
        <v>2052755.0976531133</v>
      </c>
      <c r="H107" s="351">
        <f t="shared" si="36"/>
        <v>4138093.6095546889</v>
      </c>
      <c r="I107" s="351">
        <f t="shared" si="36"/>
        <v>8308770.6333578397</v>
      </c>
      <c r="J107" s="351">
        <f t="shared" si="36"/>
        <v>16650124.680964142</v>
      </c>
      <c r="K107" s="352">
        <f t="shared" si="36"/>
        <v>33332832.776176747</v>
      </c>
      <c r="L107" s="343">
        <f>SUM(B107:K107)</f>
        <v>66339831.409868866</v>
      </c>
      <c r="M107" s="353">
        <f>SUM(L97:L106)</f>
        <v>66339831.409868874</v>
      </c>
      <c r="N107" s="336"/>
    </row>
    <row r="108" spans="1:14" s="5" customFormat="1" ht="19.899999999999999" customHeight="1" thickBot="1">
      <c r="A108" s="354" t="s">
        <v>1215</v>
      </c>
      <c r="B108" s="355">
        <f t="shared" ref="B108:K108" si="37">+B107/((1+$B$23)^B$176)</f>
        <v>31330.206008136651</v>
      </c>
      <c r="C108" s="355">
        <f t="shared" si="37"/>
        <v>90375.594254240321</v>
      </c>
      <c r="D108" s="355">
        <f t="shared" si="37"/>
        <v>202765.75633964178</v>
      </c>
      <c r="E108" s="355">
        <f t="shared" si="37"/>
        <v>417786.58586464648</v>
      </c>
      <c r="F108" s="355">
        <f t="shared" si="37"/>
        <v>830216.93344897684</v>
      </c>
      <c r="G108" s="355">
        <f t="shared" si="37"/>
        <v>1622322.1714418591</v>
      </c>
      <c r="H108" s="355">
        <f t="shared" si="37"/>
        <v>3144611.0465982319</v>
      </c>
      <c r="I108" s="355">
        <f t="shared" si="37"/>
        <v>6071137.3174027028</v>
      </c>
      <c r="J108" s="355">
        <f t="shared" si="37"/>
        <v>11698156.746579112</v>
      </c>
      <c r="K108" s="356">
        <f t="shared" si="37"/>
        <v>22518467.469047178</v>
      </c>
      <c r="L108" s="355">
        <f>SUM(B108:K108)</f>
        <v>46627169.826984726</v>
      </c>
      <c r="M108" s="336"/>
      <c r="N108" s="336"/>
    </row>
    <row r="109" spans="1:14" s="5" customFormat="1" ht="19.899999999999999" customHeight="1">
      <c r="A109" s="357"/>
      <c r="B109" s="191"/>
      <c r="C109" s="191"/>
      <c r="D109" s="191"/>
      <c r="E109" s="191"/>
      <c r="F109" s="191"/>
      <c r="G109" s="191"/>
      <c r="H109" s="191"/>
      <c r="I109" s="191"/>
      <c r="J109" s="191"/>
      <c r="K109" s="191"/>
      <c r="L109" s="191"/>
      <c r="M109" s="336"/>
      <c r="N109" s="336"/>
    </row>
    <row r="110" spans="1:14" s="5" customFormat="1" ht="19.899999999999999" customHeight="1" thickBot="1">
      <c r="A110" s="297" t="s">
        <v>61</v>
      </c>
      <c r="B110" s="296">
        <f t="shared" ref="B110:I110" si="38">C110*0.5</f>
        <v>1.1324176397388703E-3</v>
      </c>
      <c r="C110" s="296">
        <f t="shared" si="38"/>
        <v>2.2648352794777406E-3</v>
      </c>
      <c r="D110" s="296">
        <f t="shared" si="38"/>
        <v>4.5296705589554813E-3</v>
      </c>
      <c r="E110" s="296">
        <f t="shared" si="38"/>
        <v>9.0593411179109625E-3</v>
      </c>
      <c r="F110" s="296">
        <f t="shared" si="38"/>
        <v>1.8118682235821925E-2</v>
      </c>
      <c r="G110" s="296">
        <f t="shared" si="38"/>
        <v>3.623736447164385E-2</v>
      </c>
      <c r="H110" s="296">
        <f t="shared" si="38"/>
        <v>7.24747289432877E-2</v>
      </c>
      <c r="I110" s="296">
        <f t="shared" si="38"/>
        <v>0.1449494578865754</v>
      </c>
      <c r="J110" s="296">
        <f>K110*0.5</f>
        <v>0.2898989157731508</v>
      </c>
      <c r="K110" s="296">
        <f>D41*100</f>
        <v>0.5797978315463016</v>
      </c>
      <c r="L110" s="337"/>
      <c r="M110" s="6"/>
      <c r="N110" s="6"/>
    </row>
    <row r="111" spans="1:14" s="5" customFormat="1" ht="19.899999999999999" customHeight="1">
      <c r="A111" s="338"/>
      <c r="B111" s="696" t="s">
        <v>56</v>
      </c>
      <c r="C111" s="697"/>
      <c r="D111" s="697"/>
      <c r="E111" s="697"/>
      <c r="F111" s="697"/>
      <c r="G111" s="697"/>
      <c r="H111" s="697"/>
      <c r="I111" s="697"/>
      <c r="J111" s="697"/>
      <c r="K111" s="698"/>
      <c r="L111" s="339"/>
      <c r="N111" s="6"/>
    </row>
    <row r="112" spans="1:14" s="6" customFormat="1" ht="19.899999999999999" customHeight="1">
      <c r="A112" s="340" t="s">
        <v>1197</v>
      </c>
      <c r="B112" s="293">
        <v>1</v>
      </c>
      <c r="C112" s="294">
        <v>2</v>
      </c>
      <c r="D112" s="294">
        <v>3</v>
      </c>
      <c r="E112" s="294">
        <v>4</v>
      </c>
      <c r="F112" s="294">
        <v>5</v>
      </c>
      <c r="G112" s="294">
        <v>6</v>
      </c>
      <c r="H112" s="294">
        <v>7</v>
      </c>
      <c r="I112" s="295">
        <v>8</v>
      </c>
      <c r="J112" s="295">
        <v>9</v>
      </c>
      <c r="K112" s="341">
        <v>10</v>
      </c>
      <c r="L112" s="342" t="s">
        <v>147</v>
      </c>
      <c r="M112" s="7"/>
    </row>
    <row r="113" spans="1:13" s="6" customFormat="1" ht="19.899999999999999" customHeight="1">
      <c r="A113" s="359" t="s">
        <v>38</v>
      </c>
      <c r="B113" s="343">
        <f>$B$41*$C$41*(B$110*$E$41)*(1-$F$41)</f>
        <v>19500.226770183726</v>
      </c>
      <c r="C113" s="343">
        <f t="shared" ref="C113:K113" si="39">$B$41*$C$41*(C$110*$E$41)*(1-$F$41)</f>
        <v>39000.453540367453</v>
      </c>
      <c r="D113" s="343">
        <f t="shared" si="39"/>
        <v>78000.907080734905</v>
      </c>
      <c r="E113" s="343">
        <f t="shared" si="39"/>
        <v>156001.81416146981</v>
      </c>
      <c r="F113" s="343">
        <f t="shared" si="39"/>
        <v>312003.62832293962</v>
      </c>
      <c r="G113" s="343">
        <f t="shared" si="39"/>
        <v>624007.25664587924</v>
      </c>
      <c r="H113" s="343">
        <f t="shared" si="39"/>
        <v>1248014.5132917585</v>
      </c>
      <c r="I113" s="343">
        <f t="shared" si="39"/>
        <v>2496029.026583517</v>
      </c>
      <c r="J113" s="343">
        <f t="shared" si="39"/>
        <v>4992058.0531670339</v>
      </c>
      <c r="K113" s="344">
        <f t="shared" si="39"/>
        <v>9984116.1063340679</v>
      </c>
      <c r="L113" s="343">
        <f>SUM(B113:K113)</f>
        <v>19948731.985897951</v>
      </c>
    </row>
    <row r="114" spans="1:13" s="6" customFormat="1" ht="19.899999999999999" customHeight="1">
      <c r="A114" s="190" t="s">
        <v>39</v>
      </c>
      <c r="B114" s="191"/>
      <c r="C114" s="343">
        <f>B113</f>
        <v>19500.226770183726</v>
      </c>
      <c r="D114" s="343">
        <f t="shared" ref="D114" si="40">C113</f>
        <v>39000.453540367453</v>
      </c>
      <c r="E114" s="343">
        <f t="shared" ref="E114:E115" si="41">D113</f>
        <v>78000.907080734905</v>
      </c>
      <c r="F114" s="343">
        <f t="shared" ref="F114:F116" si="42">E113</f>
        <v>156001.81416146981</v>
      </c>
      <c r="G114" s="343">
        <f t="shared" ref="G114:G117" si="43">F113</f>
        <v>312003.62832293962</v>
      </c>
      <c r="H114" s="343">
        <f t="shared" ref="H114:H118" si="44">G113</f>
        <v>624007.25664587924</v>
      </c>
      <c r="I114" s="343">
        <f t="shared" ref="I114:I119" si="45">H113</f>
        <v>1248014.5132917585</v>
      </c>
      <c r="J114" s="343">
        <f t="shared" ref="J114:J120" si="46">I113</f>
        <v>2496029.026583517</v>
      </c>
      <c r="K114" s="344">
        <f t="shared" ref="K114:K120" si="47">J113</f>
        <v>4992058.0531670339</v>
      </c>
      <c r="L114" s="343">
        <f t="shared" ref="L114:L122" si="48">SUM(B114:K114)</f>
        <v>9964615.8795638829</v>
      </c>
    </row>
    <row r="115" spans="1:13" s="6" customFormat="1" ht="19.899999999999999" customHeight="1">
      <c r="A115" s="190" t="s">
        <v>40</v>
      </c>
      <c r="B115" s="191"/>
      <c r="C115" s="343"/>
      <c r="D115" s="343">
        <f>C114</f>
        <v>19500.226770183726</v>
      </c>
      <c r="E115" s="343">
        <f t="shared" si="41"/>
        <v>39000.453540367453</v>
      </c>
      <c r="F115" s="343">
        <f t="shared" si="42"/>
        <v>78000.907080734905</v>
      </c>
      <c r="G115" s="343">
        <f t="shared" si="43"/>
        <v>156001.81416146981</v>
      </c>
      <c r="H115" s="343">
        <f t="shared" si="44"/>
        <v>312003.62832293962</v>
      </c>
      <c r="I115" s="343">
        <f t="shared" si="45"/>
        <v>624007.25664587924</v>
      </c>
      <c r="J115" s="343">
        <f t="shared" si="46"/>
        <v>1248014.5132917585</v>
      </c>
      <c r="K115" s="344">
        <f t="shared" si="47"/>
        <v>2496029.026583517</v>
      </c>
      <c r="L115" s="343">
        <f t="shared" si="48"/>
        <v>4972557.8263968499</v>
      </c>
    </row>
    <row r="116" spans="1:13" s="6" customFormat="1" ht="19.899999999999999" customHeight="1">
      <c r="A116" s="190" t="s">
        <v>41</v>
      </c>
      <c r="B116" s="191"/>
      <c r="C116" s="343"/>
      <c r="D116" s="343"/>
      <c r="E116" s="343">
        <f>D115</f>
        <v>19500.226770183726</v>
      </c>
      <c r="F116" s="343">
        <f t="shared" si="42"/>
        <v>39000.453540367453</v>
      </c>
      <c r="G116" s="343">
        <f t="shared" si="43"/>
        <v>78000.907080734905</v>
      </c>
      <c r="H116" s="343">
        <f t="shared" si="44"/>
        <v>156001.81416146981</v>
      </c>
      <c r="I116" s="343">
        <f t="shared" si="45"/>
        <v>312003.62832293962</v>
      </c>
      <c r="J116" s="343">
        <f t="shared" si="46"/>
        <v>624007.25664587924</v>
      </c>
      <c r="K116" s="344">
        <f t="shared" si="47"/>
        <v>1248014.5132917585</v>
      </c>
      <c r="L116" s="343">
        <f t="shared" si="48"/>
        <v>2476528.799813333</v>
      </c>
    </row>
    <row r="117" spans="1:13" s="6" customFormat="1" ht="19.899999999999999" customHeight="1">
      <c r="A117" s="190" t="s">
        <v>42</v>
      </c>
      <c r="B117" s="191"/>
      <c r="C117" s="343"/>
      <c r="D117" s="343"/>
      <c r="E117" s="343"/>
      <c r="F117" s="343">
        <f>E116</f>
        <v>19500.226770183726</v>
      </c>
      <c r="G117" s="343">
        <f t="shared" si="43"/>
        <v>39000.453540367453</v>
      </c>
      <c r="H117" s="343">
        <f t="shared" si="44"/>
        <v>78000.907080734905</v>
      </c>
      <c r="I117" s="343">
        <f t="shared" si="45"/>
        <v>156001.81416146981</v>
      </c>
      <c r="J117" s="343">
        <f t="shared" si="46"/>
        <v>312003.62832293962</v>
      </c>
      <c r="K117" s="344">
        <f t="shared" si="47"/>
        <v>624007.25664587924</v>
      </c>
      <c r="L117" s="343">
        <f t="shared" si="48"/>
        <v>1228514.2865215747</v>
      </c>
      <c r="M117" s="336"/>
    </row>
    <row r="118" spans="1:13" s="6" customFormat="1" ht="19.899999999999999" customHeight="1">
      <c r="A118" s="190" t="s">
        <v>43</v>
      </c>
      <c r="B118" s="191"/>
      <c r="C118" s="343"/>
      <c r="D118" s="343"/>
      <c r="E118" s="343"/>
      <c r="F118" s="343"/>
      <c r="G118" s="343">
        <f>F117</f>
        <v>19500.226770183726</v>
      </c>
      <c r="H118" s="343">
        <f t="shared" si="44"/>
        <v>39000.453540367453</v>
      </c>
      <c r="I118" s="343">
        <f t="shared" si="45"/>
        <v>78000.907080734905</v>
      </c>
      <c r="J118" s="343">
        <f t="shared" si="46"/>
        <v>156001.81416146981</v>
      </c>
      <c r="K118" s="344">
        <f t="shared" si="47"/>
        <v>312003.62832293962</v>
      </c>
      <c r="L118" s="343">
        <f t="shared" si="48"/>
        <v>604507.02987569547</v>
      </c>
      <c r="M118" s="336"/>
    </row>
    <row r="119" spans="1:13" s="6" customFormat="1" ht="19.899999999999999" customHeight="1">
      <c r="A119" s="190" t="s">
        <v>44</v>
      </c>
      <c r="B119" s="191"/>
      <c r="C119" s="343"/>
      <c r="D119" s="343"/>
      <c r="E119" s="343"/>
      <c r="F119" s="343"/>
      <c r="G119" s="343"/>
      <c r="H119" s="343">
        <f>G118</f>
        <v>19500.226770183726</v>
      </c>
      <c r="I119" s="343">
        <f t="shared" si="45"/>
        <v>39000.453540367453</v>
      </c>
      <c r="J119" s="343">
        <f t="shared" si="46"/>
        <v>78000.907080734905</v>
      </c>
      <c r="K119" s="344">
        <f t="shared" si="47"/>
        <v>156001.81416146981</v>
      </c>
      <c r="L119" s="343">
        <f t="shared" si="48"/>
        <v>292503.40155275591</v>
      </c>
      <c r="M119" s="336"/>
    </row>
    <row r="120" spans="1:13" s="6" customFormat="1" ht="19.899999999999999" customHeight="1">
      <c r="A120" s="190" t="s">
        <v>45</v>
      </c>
      <c r="B120" s="191"/>
      <c r="C120" s="343"/>
      <c r="D120" s="343"/>
      <c r="E120" s="343"/>
      <c r="F120" s="343"/>
      <c r="G120" s="343"/>
      <c r="H120" s="343"/>
      <c r="I120" s="343">
        <f>H119</f>
        <v>19500.226770183726</v>
      </c>
      <c r="J120" s="343">
        <f t="shared" si="46"/>
        <v>39000.453540367453</v>
      </c>
      <c r="K120" s="344">
        <f t="shared" si="47"/>
        <v>78000.907080734905</v>
      </c>
      <c r="L120" s="343">
        <f t="shared" si="48"/>
        <v>136501.5873912861</v>
      </c>
      <c r="M120" s="336"/>
    </row>
    <row r="121" spans="1:13" s="6" customFormat="1" ht="19.899999999999999" customHeight="1">
      <c r="A121" s="190" t="s">
        <v>46</v>
      </c>
      <c r="B121" s="191"/>
      <c r="C121" s="343"/>
      <c r="D121" s="343"/>
      <c r="E121" s="343"/>
      <c r="F121" s="343"/>
      <c r="G121" s="343"/>
      <c r="H121" s="343"/>
      <c r="I121" s="343"/>
      <c r="J121" s="343">
        <f>I120</f>
        <v>19500.226770183726</v>
      </c>
      <c r="K121" s="344">
        <f>J120</f>
        <v>39000.453540367453</v>
      </c>
      <c r="L121" s="343">
        <f t="shared" si="48"/>
        <v>58500.680310551179</v>
      </c>
      <c r="M121" s="336"/>
    </row>
    <row r="122" spans="1:13" s="6" customFormat="1" ht="19.899999999999999" customHeight="1">
      <c r="A122" s="347" t="s">
        <v>47</v>
      </c>
      <c r="B122" s="348"/>
      <c r="C122" s="348"/>
      <c r="D122" s="348"/>
      <c r="E122" s="348"/>
      <c r="F122" s="348"/>
      <c r="G122" s="348"/>
      <c r="H122" s="348"/>
      <c r="I122" s="348"/>
      <c r="J122" s="348"/>
      <c r="K122" s="349">
        <f>J121</f>
        <v>19500.226770183726</v>
      </c>
      <c r="L122" s="350">
        <f t="shared" si="48"/>
        <v>19500.226770183726</v>
      </c>
      <c r="M122" s="336"/>
    </row>
    <row r="123" spans="1:13" s="6" customFormat="1" ht="19.899999999999999" customHeight="1">
      <c r="A123" s="340" t="s">
        <v>1225</v>
      </c>
      <c r="B123" s="351">
        <f>SUM(B113:B122)</f>
        <v>19500.226770183726</v>
      </c>
      <c r="C123" s="351">
        <f t="shared" ref="C123:K123" si="49">SUM(C113:C122)</f>
        <v>58500.680310551179</v>
      </c>
      <c r="D123" s="351">
        <f t="shared" si="49"/>
        <v>136501.5873912861</v>
      </c>
      <c r="E123" s="351">
        <f t="shared" si="49"/>
        <v>292503.40155275591</v>
      </c>
      <c r="F123" s="351">
        <f t="shared" si="49"/>
        <v>604507.02987569559</v>
      </c>
      <c r="G123" s="351">
        <f t="shared" si="49"/>
        <v>1228514.2865215749</v>
      </c>
      <c r="H123" s="351">
        <f t="shared" si="49"/>
        <v>2476528.7998133334</v>
      </c>
      <c r="I123" s="351">
        <f t="shared" si="49"/>
        <v>4972557.8263968509</v>
      </c>
      <c r="J123" s="351">
        <f t="shared" si="49"/>
        <v>9964615.8795638848</v>
      </c>
      <c r="K123" s="352">
        <f t="shared" si="49"/>
        <v>19948731.985897955</v>
      </c>
      <c r="L123" s="343">
        <f>SUM(B123:K123)</f>
        <v>39702461.704094067</v>
      </c>
      <c r="M123" s="353">
        <f>SUM(L113:L122)</f>
        <v>39702461.704094075</v>
      </c>
    </row>
    <row r="124" spans="1:13" s="6" customFormat="1" ht="19.899999999999999" customHeight="1" thickBot="1">
      <c r="A124" s="354" t="s">
        <v>1215</v>
      </c>
      <c r="B124" s="355">
        <f t="shared" ref="B124:K124" si="50">+B123/((1+$B$23)^B$176)</f>
        <v>18750.218048253584</v>
      </c>
      <c r="C124" s="355">
        <f t="shared" si="50"/>
        <v>54087.167446885331</v>
      </c>
      <c r="D124" s="355">
        <f t="shared" si="50"/>
        <v>121349.414143653</v>
      </c>
      <c r="E124" s="355">
        <f t="shared" si="50"/>
        <v>250033.13353774653</v>
      </c>
      <c r="F124" s="355">
        <f t="shared" si="50"/>
        <v>496860.71408141934</v>
      </c>
      <c r="G124" s="355">
        <f t="shared" si="50"/>
        <v>970912.68570500682</v>
      </c>
      <c r="H124" s="355">
        <f t="shared" si="50"/>
        <v>1881958.3498860786</v>
      </c>
      <c r="I124" s="355">
        <f t="shared" si="50"/>
        <v>3633399.2975541339</v>
      </c>
      <c r="J124" s="355">
        <f t="shared" si="50"/>
        <v>7001006.942119767</v>
      </c>
      <c r="K124" s="356">
        <f t="shared" si="50"/>
        <v>13476648.543181773</v>
      </c>
      <c r="L124" s="355">
        <f>SUM(B124:K124)</f>
        <v>27905006.465704717</v>
      </c>
      <c r="M124" s="336"/>
    </row>
    <row r="125" spans="1:13" s="6" customFormat="1" ht="19.899999999999999" customHeight="1">
      <c r="A125" s="357"/>
      <c r="B125" s="191"/>
      <c r="C125" s="191"/>
      <c r="D125" s="191"/>
      <c r="E125" s="191"/>
      <c r="F125" s="191"/>
      <c r="G125" s="191"/>
      <c r="H125" s="191"/>
      <c r="I125" s="191"/>
      <c r="J125" s="191"/>
      <c r="K125" s="191"/>
      <c r="L125" s="191"/>
      <c r="M125" s="336"/>
    </row>
    <row r="126" spans="1:13" s="6" customFormat="1" ht="19.899999999999999" customHeight="1" thickBot="1">
      <c r="A126" s="297" t="s">
        <v>61</v>
      </c>
      <c r="B126" s="296">
        <f t="shared" ref="B126:I126" si="51">C126*0.5</f>
        <v>1.0115623115508282E-3</v>
      </c>
      <c r="C126" s="296">
        <f t="shared" si="51"/>
        <v>2.0231246231016565E-3</v>
      </c>
      <c r="D126" s="296">
        <f t="shared" si="51"/>
        <v>4.046249246203313E-3</v>
      </c>
      <c r="E126" s="296">
        <f t="shared" si="51"/>
        <v>8.0924984924066259E-3</v>
      </c>
      <c r="F126" s="296">
        <f t="shared" si="51"/>
        <v>1.6184996984813252E-2</v>
      </c>
      <c r="G126" s="296">
        <f t="shared" si="51"/>
        <v>3.2369993969626504E-2</v>
      </c>
      <c r="H126" s="296">
        <f t="shared" si="51"/>
        <v>6.4739987939253008E-2</v>
      </c>
      <c r="I126" s="296">
        <f t="shared" si="51"/>
        <v>0.12947997587850602</v>
      </c>
      <c r="J126" s="296">
        <f>K126*0.5</f>
        <v>0.25895995175701203</v>
      </c>
      <c r="K126" s="296">
        <f>D42*100</f>
        <v>0.51791990351402406</v>
      </c>
      <c r="L126" s="358"/>
    </row>
    <row r="127" spans="1:13" s="6" customFormat="1" ht="19.899999999999999" customHeight="1">
      <c r="A127" s="338"/>
      <c r="B127" s="696" t="s">
        <v>56</v>
      </c>
      <c r="C127" s="697"/>
      <c r="D127" s="697"/>
      <c r="E127" s="697"/>
      <c r="F127" s="697"/>
      <c r="G127" s="697"/>
      <c r="H127" s="697"/>
      <c r="I127" s="697"/>
      <c r="J127" s="697"/>
      <c r="K127" s="698"/>
      <c r="L127" s="339"/>
      <c r="M127" s="5"/>
    </row>
    <row r="128" spans="1:13" s="6" customFormat="1" ht="19.899999999999999" customHeight="1">
      <c r="A128" s="340" t="s">
        <v>1593</v>
      </c>
      <c r="B128" s="293">
        <v>1</v>
      </c>
      <c r="C128" s="294">
        <v>2</v>
      </c>
      <c r="D128" s="294">
        <v>3</v>
      </c>
      <c r="E128" s="294">
        <v>4</v>
      </c>
      <c r="F128" s="294">
        <v>5</v>
      </c>
      <c r="G128" s="294">
        <v>6</v>
      </c>
      <c r="H128" s="294">
        <v>7</v>
      </c>
      <c r="I128" s="295">
        <v>8</v>
      </c>
      <c r="J128" s="295">
        <v>9</v>
      </c>
      <c r="K128" s="341">
        <v>10</v>
      </c>
      <c r="L128" s="342" t="s">
        <v>147</v>
      </c>
      <c r="M128" s="7"/>
    </row>
    <row r="129" spans="1:13" s="6" customFormat="1" ht="19.899999999999999" customHeight="1">
      <c r="A129" s="359" t="s">
        <v>38</v>
      </c>
      <c r="B129" s="343">
        <f>$B$42*$C$42*(B$126*$E$42)*(1-$F$42)</f>
        <v>15560.075167465793</v>
      </c>
      <c r="C129" s="343">
        <f>$B$42*$C$42*(C$126*$E$42)*(1-$F$42)</f>
        <v>31120.150334931586</v>
      </c>
      <c r="D129" s="343">
        <f t="shared" ref="D129:K129" si="52">$B$42*$C$42*(D$126*$E$42)*(1-$F$42)</f>
        <v>62240.300669863173</v>
      </c>
      <c r="E129" s="343">
        <f t="shared" si="52"/>
        <v>124480.60133972635</v>
      </c>
      <c r="F129" s="343">
        <f t="shared" si="52"/>
        <v>248961.20267945269</v>
      </c>
      <c r="G129" s="343">
        <f t="shared" si="52"/>
        <v>497922.40535890538</v>
      </c>
      <c r="H129" s="343">
        <f t="shared" si="52"/>
        <v>995844.81071781076</v>
      </c>
      <c r="I129" s="343">
        <f t="shared" si="52"/>
        <v>1991689.6214356215</v>
      </c>
      <c r="J129" s="343">
        <f t="shared" si="52"/>
        <v>3983379.242871243</v>
      </c>
      <c r="K129" s="360">
        <f t="shared" si="52"/>
        <v>7966758.4857424861</v>
      </c>
      <c r="L129" s="343">
        <f>SUM(B129:K129)</f>
        <v>15917956.896317508</v>
      </c>
    </row>
    <row r="130" spans="1:13" s="6" customFormat="1" ht="19.899999999999999" customHeight="1">
      <c r="A130" s="190" t="s">
        <v>39</v>
      </c>
      <c r="B130" s="191"/>
      <c r="C130" s="343">
        <f>B129</f>
        <v>15560.075167465793</v>
      </c>
      <c r="D130" s="343">
        <f t="shared" ref="D130" si="53">C129</f>
        <v>31120.150334931586</v>
      </c>
      <c r="E130" s="343">
        <f t="shared" ref="E130:E131" si="54">D129</f>
        <v>62240.300669863173</v>
      </c>
      <c r="F130" s="343">
        <f t="shared" ref="F130:F132" si="55">E129</f>
        <v>124480.60133972635</v>
      </c>
      <c r="G130" s="343">
        <f t="shared" ref="G130:G133" si="56">F129</f>
        <v>248961.20267945269</v>
      </c>
      <c r="H130" s="343">
        <f t="shared" ref="H130:H134" si="57">G129</f>
        <v>497922.40535890538</v>
      </c>
      <c r="I130" s="343">
        <f t="shared" ref="I130:I135" si="58">H129</f>
        <v>995844.81071781076</v>
      </c>
      <c r="J130" s="343">
        <f t="shared" ref="J130:J136" si="59">I129</f>
        <v>1991689.6214356215</v>
      </c>
      <c r="K130" s="344">
        <f t="shared" ref="K130:K136" si="60">J129</f>
        <v>3983379.242871243</v>
      </c>
      <c r="L130" s="343">
        <f t="shared" ref="L130:L138" si="61">SUM(B130:K130)</f>
        <v>7951198.4105750211</v>
      </c>
    </row>
    <row r="131" spans="1:13" s="6" customFormat="1" ht="19.899999999999999" customHeight="1">
      <c r="A131" s="190" t="s">
        <v>40</v>
      </c>
      <c r="B131" s="191"/>
      <c r="C131" s="343"/>
      <c r="D131" s="343">
        <f>C130</f>
        <v>15560.075167465793</v>
      </c>
      <c r="E131" s="343">
        <f t="shared" si="54"/>
        <v>31120.150334931586</v>
      </c>
      <c r="F131" s="343">
        <f t="shared" si="55"/>
        <v>62240.300669863173</v>
      </c>
      <c r="G131" s="343">
        <f t="shared" si="56"/>
        <v>124480.60133972635</v>
      </c>
      <c r="H131" s="343">
        <f t="shared" si="57"/>
        <v>248961.20267945269</v>
      </c>
      <c r="I131" s="343">
        <f t="shared" si="58"/>
        <v>497922.40535890538</v>
      </c>
      <c r="J131" s="343">
        <f t="shared" si="59"/>
        <v>995844.81071781076</v>
      </c>
      <c r="K131" s="344">
        <f t="shared" si="60"/>
        <v>1991689.6214356215</v>
      </c>
      <c r="L131" s="343">
        <f t="shared" si="61"/>
        <v>3967819.1677037776</v>
      </c>
    </row>
    <row r="132" spans="1:13" s="6" customFormat="1" ht="19.899999999999999" customHeight="1">
      <c r="A132" s="190" t="s">
        <v>41</v>
      </c>
      <c r="B132" s="191"/>
      <c r="C132" s="343"/>
      <c r="D132" s="343"/>
      <c r="E132" s="343">
        <f>D131</f>
        <v>15560.075167465793</v>
      </c>
      <c r="F132" s="343">
        <f t="shared" si="55"/>
        <v>31120.150334931586</v>
      </c>
      <c r="G132" s="343">
        <f t="shared" si="56"/>
        <v>62240.300669863173</v>
      </c>
      <c r="H132" s="343">
        <f t="shared" si="57"/>
        <v>124480.60133972635</v>
      </c>
      <c r="I132" s="343">
        <f t="shared" si="58"/>
        <v>248961.20267945269</v>
      </c>
      <c r="J132" s="343">
        <f t="shared" si="59"/>
        <v>497922.40535890538</v>
      </c>
      <c r="K132" s="344">
        <f t="shared" si="60"/>
        <v>995844.81071781076</v>
      </c>
      <c r="L132" s="343">
        <f t="shared" si="61"/>
        <v>1976129.5462681558</v>
      </c>
    </row>
    <row r="133" spans="1:13" s="6" customFormat="1" ht="19.899999999999999" customHeight="1">
      <c r="A133" s="190" t="s">
        <v>42</v>
      </c>
      <c r="B133" s="191"/>
      <c r="C133" s="343"/>
      <c r="D133" s="343"/>
      <c r="E133" s="343"/>
      <c r="F133" s="343">
        <f>E132</f>
        <v>15560.075167465793</v>
      </c>
      <c r="G133" s="343">
        <f t="shared" si="56"/>
        <v>31120.150334931586</v>
      </c>
      <c r="H133" s="343">
        <f t="shared" si="57"/>
        <v>62240.300669863173</v>
      </c>
      <c r="I133" s="343">
        <f t="shared" si="58"/>
        <v>124480.60133972635</v>
      </c>
      <c r="J133" s="343">
        <f t="shared" si="59"/>
        <v>248961.20267945269</v>
      </c>
      <c r="K133" s="344">
        <f t="shared" si="60"/>
        <v>497922.40535890538</v>
      </c>
      <c r="L133" s="343">
        <f t="shared" si="61"/>
        <v>980284.73555034492</v>
      </c>
      <c r="M133" s="336"/>
    </row>
    <row r="134" spans="1:13" s="6" customFormat="1" ht="19.899999999999999" customHeight="1">
      <c r="A134" s="190" t="s">
        <v>43</v>
      </c>
      <c r="B134" s="191"/>
      <c r="C134" s="343"/>
      <c r="D134" s="343"/>
      <c r="E134" s="343"/>
      <c r="F134" s="343"/>
      <c r="G134" s="343">
        <f>F133</f>
        <v>15560.075167465793</v>
      </c>
      <c r="H134" s="343">
        <f t="shared" si="57"/>
        <v>31120.150334931586</v>
      </c>
      <c r="I134" s="343">
        <f t="shared" si="58"/>
        <v>62240.300669863173</v>
      </c>
      <c r="J134" s="343">
        <f t="shared" si="59"/>
        <v>124480.60133972635</v>
      </c>
      <c r="K134" s="344">
        <f t="shared" si="60"/>
        <v>248961.20267945269</v>
      </c>
      <c r="L134" s="343">
        <f t="shared" si="61"/>
        <v>482362.3301914396</v>
      </c>
      <c r="M134" s="336"/>
    </row>
    <row r="135" spans="1:13" s="6" customFormat="1" ht="19.899999999999999" customHeight="1">
      <c r="A135" s="190" t="s">
        <v>44</v>
      </c>
      <c r="B135" s="191"/>
      <c r="C135" s="343"/>
      <c r="D135" s="343"/>
      <c r="E135" s="343"/>
      <c r="F135" s="343"/>
      <c r="G135" s="343"/>
      <c r="H135" s="343">
        <f>G134</f>
        <v>15560.075167465793</v>
      </c>
      <c r="I135" s="343">
        <f t="shared" si="58"/>
        <v>31120.150334931586</v>
      </c>
      <c r="J135" s="343">
        <f t="shared" si="59"/>
        <v>62240.300669863173</v>
      </c>
      <c r="K135" s="344">
        <f t="shared" si="60"/>
        <v>124480.60133972635</v>
      </c>
      <c r="L135" s="343">
        <f t="shared" si="61"/>
        <v>233401.12751198688</v>
      </c>
      <c r="M135" s="336"/>
    </row>
    <row r="136" spans="1:13" s="6" customFormat="1" ht="19.899999999999999" customHeight="1">
      <c r="A136" s="190" t="s">
        <v>45</v>
      </c>
      <c r="B136" s="191"/>
      <c r="C136" s="343"/>
      <c r="D136" s="343"/>
      <c r="E136" s="343"/>
      <c r="F136" s="343"/>
      <c r="G136" s="343"/>
      <c r="H136" s="343"/>
      <c r="I136" s="343">
        <f>H135</f>
        <v>15560.075167465793</v>
      </c>
      <c r="J136" s="343">
        <f t="shared" si="59"/>
        <v>31120.150334931586</v>
      </c>
      <c r="K136" s="344">
        <f t="shared" si="60"/>
        <v>62240.300669863173</v>
      </c>
      <c r="L136" s="343">
        <f t="shared" si="61"/>
        <v>108920.52617226055</v>
      </c>
      <c r="M136" s="336"/>
    </row>
    <row r="137" spans="1:13" s="6" customFormat="1" ht="19.899999999999999" customHeight="1">
      <c r="A137" s="190" t="s">
        <v>46</v>
      </c>
      <c r="B137" s="191"/>
      <c r="C137" s="343"/>
      <c r="D137" s="343"/>
      <c r="E137" s="343"/>
      <c r="F137" s="343"/>
      <c r="G137" s="343"/>
      <c r="H137" s="343"/>
      <c r="I137" s="343"/>
      <c r="J137" s="343">
        <f>I136</f>
        <v>15560.075167465793</v>
      </c>
      <c r="K137" s="344">
        <f>J136</f>
        <v>31120.150334931586</v>
      </c>
      <c r="L137" s="343">
        <f t="shared" si="61"/>
        <v>46680.225502397378</v>
      </c>
      <c r="M137" s="336"/>
    </row>
    <row r="138" spans="1:13" s="6" customFormat="1" ht="19.899999999999999" customHeight="1">
      <c r="A138" s="347" t="s">
        <v>47</v>
      </c>
      <c r="B138" s="348"/>
      <c r="C138" s="348"/>
      <c r="D138" s="348"/>
      <c r="E138" s="348"/>
      <c r="F138" s="348"/>
      <c r="G138" s="348"/>
      <c r="H138" s="348"/>
      <c r="I138" s="348"/>
      <c r="J138" s="348"/>
      <c r="K138" s="349">
        <f>J137</f>
        <v>15560.075167465793</v>
      </c>
      <c r="L138" s="350">
        <f t="shared" si="61"/>
        <v>15560.075167465793</v>
      </c>
      <c r="M138" s="336"/>
    </row>
    <row r="139" spans="1:13" s="6" customFormat="1" ht="19.899999999999999" customHeight="1">
      <c r="A139" s="340" t="s">
        <v>1224</v>
      </c>
      <c r="B139" s="351">
        <f>SUM(B129:B138)</f>
        <v>15560.075167465793</v>
      </c>
      <c r="C139" s="351">
        <f t="shared" ref="C139:K139" si="62">SUM(C129:C138)</f>
        <v>46680.225502397378</v>
      </c>
      <c r="D139" s="351">
        <f t="shared" si="62"/>
        <v>108920.52617226055</v>
      </c>
      <c r="E139" s="351">
        <f t="shared" si="62"/>
        <v>233401.12751198688</v>
      </c>
      <c r="F139" s="351">
        <f t="shared" si="62"/>
        <v>482362.33019143954</v>
      </c>
      <c r="G139" s="351">
        <f t="shared" si="62"/>
        <v>980284.73555034492</v>
      </c>
      <c r="H139" s="351">
        <f t="shared" si="62"/>
        <v>1976129.5462681556</v>
      </c>
      <c r="I139" s="351">
        <f t="shared" si="62"/>
        <v>3967819.1677037771</v>
      </c>
      <c r="J139" s="351">
        <f t="shared" si="62"/>
        <v>7951198.4105750201</v>
      </c>
      <c r="K139" s="352">
        <f t="shared" si="62"/>
        <v>15917956.896317506</v>
      </c>
      <c r="L139" s="343">
        <f>SUM(B139:K139)</f>
        <v>31680313.040960357</v>
      </c>
      <c r="M139" s="353">
        <f>SUM(L129:L138)</f>
        <v>31680313.04096036</v>
      </c>
    </row>
    <row r="140" spans="1:13" s="6" customFormat="1" ht="19.899999999999999" customHeight="1" thickBot="1">
      <c r="A140" s="354" t="s">
        <v>1215</v>
      </c>
      <c r="B140" s="355">
        <f t="shared" ref="B140:K140" si="63">+B139/((1+$B$23)^B$176)</f>
        <v>14961.610737947878</v>
      </c>
      <c r="C140" s="355">
        <f t="shared" si="63"/>
        <v>43158.492513311183</v>
      </c>
      <c r="D140" s="355">
        <f t="shared" si="63"/>
        <v>96829.951151659698</v>
      </c>
      <c r="E140" s="355">
        <f t="shared" si="63"/>
        <v>199512.26198830979</v>
      </c>
      <c r="F140" s="355">
        <f t="shared" si="63"/>
        <v>396466.67446394893</v>
      </c>
      <c r="G140" s="355">
        <f t="shared" si="63"/>
        <v>774733.2658569722</v>
      </c>
      <c r="H140" s="355">
        <f t="shared" si="63"/>
        <v>1501696.0434040823</v>
      </c>
      <c r="I140" s="355">
        <f t="shared" si="63"/>
        <v>2899246.6010602736</v>
      </c>
      <c r="J140" s="355">
        <f t="shared" si="63"/>
        <v>5586406.5352254892</v>
      </c>
      <c r="K140" s="356">
        <f t="shared" si="63"/>
        <v>10753601.320065625</v>
      </c>
      <c r="L140" s="355">
        <f>SUM(B140:K140)</f>
        <v>22266612.756467618</v>
      </c>
      <c r="M140" s="336"/>
    </row>
    <row r="141" spans="1:13" s="6" customFormat="1" ht="19.899999999999999" customHeight="1">
      <c r="A141" s="357"/>
      <c r="B141" s="191"/>
      <c r="C141" s="191"/>
      <c r="D141" s="191"/>
      <c r="E141" s="191"/>
      <c r="F141" s="191"/>
      <c r="G141" s="191"/>
      <c r="H141" s="191"/>
      <c r="I141" s="191"/>
      <c r="J141" s="191"/>
      <c r="K141" s="191"/>
      <c r="L141" s="191"/>
      <c r="M141" s="336"/>
    </row>
    <row r="142" spans="1:13" s="6" customFormat="1" ht="19.899999999999999" customHeight="1" thickBot="1">
      <c r="A142" s="297" t="s">
        <v>61</v>
      </c>
      <c r="B142" s="296">
        <f t="shared" ref="B142:I142" si="64">C142*0.5</f>
        <v>1.0727034761323934E-3</v>
      </c>
      <c r="C142" s="296">
        <f t="shared" si="64"/>
        <v>2.1454069522647869E-3</v>
      </c>
      <c r="D142" s="296">
        <f t="shared" si="64"/>
        <v>4.2908139045295737E-3</v>
      </c>
      <c r="E142" s="296">
        <f t="shared" si="64"/>
        <v>8.5816278090591475E-3</v>
      </c>
      <c r="F142" s="296">
        <f t="shared" si="64"/>
        <v>1.7163255618118295E-2</v>
      </c>
      <c r="G142" s="296">
        <f t="shared" si="64"/>
        <v>3.432651123623659E-2</v>
      </c>
      <c r="H142" s="296">
        <f t="shared" si="64"/>
        <v>6.865302247247318E-2</v>
      </c>
      <c r="I142" s="296">
        <f t="shared" si="64"/>
        <v>0.13730604494494636</v>
      </c>
      <c r="J142" s="296">
        <f>K142*0.5</f>
        <v>0.27461208988989272</v>
      </c>
      <c r="K142" s="296">
        <f>D43*100</f>
        <v>0.54922417977978544</v>
      </c>
      <c r="L142" s="358"/>
    </row>
    <row r="143" spans="1:13" s="6" customFormat="1" ht="19.899999999999999" customHeight="1">
      <c r="A143" s="338"/>
      <c r="B143" s="696" t="s">
        <v>56</v>
      </c>
      <c r="C143" s="697"/>
      <c r="D143" s="697"/>
      <c r="E143" s="697"/>
      <c r="F143" s="697"/>
      <c r="G143" s="697"/>
      <c r="H143" s="697"/>
      <c r="I143" s="697"/>
      <c r="J143" s="697"/>
      <c r="K143" s="698"/>
      <c r="L143" s="339"/>
      <c r="M143" s="5"/>
    </row>
    <row r="144" spans="1:13" s="6" customFormat="1" ht="19.899999999999999" customHeight="1">
      <c r="A144" s="340" t="s">
        <v>1196</v>
      </c>
      <c r="B144" s="293">
        <v>1</v>
      </c>
      <c r="C144" s="294">
        <v>2</v>
      </c>
      <c r="D144" s="294">
        <v>3</v>
      </c>
      <c r="E144" s="294">
        <v>4</v>
      </c>
      <c r="F144" s="294">
        <v>5</v>
      </c>
      <c r="G144" s="294">
        <v>6</v>
      </c>
      <c r="H144" s="294">
        <v>7</v>
      </c>
      <c r="I144" s="295">
        <v>8</v>
      </c>
      <c r="J144" s="295">
        <v>9</v>
      </c>
      <c r="K144" s="341">
        <v>10</v>
      </c>
      <c r="L144" s="342" t="s">
        <v>147</v>
      </c>
      <c r="M144" s="7"/>
    </row>
    <row r="145" spans="1:13" s="6" customFormat="1" ht="19.899999999999999" customHeight="1">
      <c r="A145" s="359" t="s">
        <v>38</v>
      </c>
      <c r="B145" s="343">
        <f>$B$43*$C$43*(B$142*$E$43)*(1-$F$43)</f>
        <v>17497.894198724432</v>
      </c>
      <c r="C145" s="343">
        <f t="shared" ref="C145:K145" si="65">$B$43*$C$43*(C$142*$E$43)*(1-$F$43)</f>
        <v>34995.788397448865</v>
      </c>
      <c r="D145" s="343">
        <f t="shared" si="65"/>
        <v>69991.57679489773</v>
      </c>
      <c r="E145" s="343">
        <f t="shared" si="65"/>
        <v>139983.15358979546</v>
      </c>
      <c r="F145" s="343">
        <f t="shared" si="65"/>
        <v>279966.30717959092</v>
      </c>
      <c r="G145" s="343">
        <f t="shared" si="65"/>
        <v>559932.61435918184</v>
      </c>
      <c r="H145" s="343">
        <f t="shared" si="65"/>
        <v>1119865.2287183637</v>
      </c>
      <c r="I145" s="343">
        <f t="shared" si="65"/>
        <v>2239730.4574367274</v>
      </c>
      <c r="J145" s="343">
        <f t="shared" si="65"/>
        <v>4479460.9148734547</v>
      </c>
      <c r="K145" s="360">
        <f t="shared" si="65"/>
        <v>8958921.8297469094</v>
      </c>
      <c r="L145" s="343">
        <f>SUM(B145:K145)</f>
        <v>17900345.765295096</v>
      </c>
    </row>
    <row r="146" spans="1:13" s="6" customFormat="1" ht="19.899999999999999" customHeight="1">
      <c r="A146" s="190" t="s">
        <v>39</v>
      </c>
      <c r="B146" s="191"/>
      <c r="C146" s="343">
        <f>B145</f>
        <v>17497.894198724432</v>
      </c>
      <c r="D146" s="343">
        <f t="shared" ref="D146" si="66">C145</f>
        <v>34995.788397448865</v>
      </c>
      <c r="E146" s="343">
        <f t="shared" ref="E146:E147" si="67">D145</f>
        <v>69991.57679489773</v>
      </c>
      <c r="F146" s="343">
        <f t="shared" ref="F146:F148" si="68">E145</f>
        <v>139983.15358979546</v>
      </c>
      <c r="G146" s="343">
        <f t="shared" ref="G146:G149" si="69">F145</f>
        <v>279966.30717959092</v>
      </c>
      <c r="H146" s="343">
        <f t="shared" ref="H146:H150" si="70">G145</f>
        <v>559932.61435918184</v>
      </c>
      <c r="I146" s="343">
        <f t="shared" ref="I146:I151" si="71">H145</f>
        <v>1119865.2287183637</v>
      </c>
      <c r="J146" s="343">
        <f t="shared" ref="J146:J152" si="72">I145</f>
        <v>2239730.4574367274</v>
      </c>
      <c r="K146" s="344">
        <f t="shared" ref="K146:K152" si="73">J145</f>
        <v>4479460.9148734547</v>
      </c>
      <c r="L146" s="343">
        <f t="shared" ref="L146:L154" si="74">SUM(B146:K146)</f>
        <v>8941423.9355481844</v>
      </c>
    </row>
    <row r="147" spans="1:13" s="6" customFormat="1" ht="19.899999999999999" customHeight="1">
      <c r="A147" s="190" t="s">
        <v>40</v>
      </c>
      <c r="B147" s="191"/>
      <c r="C147" s="343"/>
      <c r="D147" s="343">
        <f>C146</f>
        <v>17497.894198724432</v>
      </c>
      <c r="E147" s="343">
        <f t="shared" si="67"/>
        <v>34995.788397448865</v>
      </c>
      <c r="F147" s="343">
        <f t="shared" si="68"/>
        <v>69991.57679489773</v>
      </c>
      <c r="G147" s="343">
        <f t="shared" si="69"/>
        <v>139983.15358979546</v>
      </c>
      <c r="H147" s="343">
        <f t="shared" si="70"/>
        <v>279966.30717959092</v>
      </c>
      <c r="I147" s="343">
        <f t="shared" si="71"/>
        <v>559932.61435918184</v>
      </c>
      <c r="J147" s="343">
        <f t="shared" si="72"/>
        <v>1119865.2287183637</v>
      </c>
      <c r="K147" s="344">
        <f t="shared" si="73"/>
        <v>2239730.4574367274</v>
      </c>
      <c r="L147" s="343">
        <f t="shared" si="74"/>
        <v>4461963.0206747297</v>
      </c>
    </row>
    <row r="148" spans="1:13" s="6" customFormat="1" ht="19.899999999999999" customHeight="1">
      <c r="A148" s="190" t="s">
        <v>41</v>
      </c>
      <c r="B148" s="191"/>
      <c r="C148" s="343"/>
      <c r="D148" s="343"/>
      <c r="E148" s="343">
        <f>D147</f>
        <v>17497.894198724432</v>
      </c>
      <c r="F148" s="343">
        <f t="shared" si="68"/>
        <v>34995.788397448865</v>
      </c>
      <c r="G148" s="343">
        <f t="shared" si="69"/>
        <v>69991.57679489773</v>
      </c>
      <c r="H148" s="343">
        <f t="shared" si="70"/>
        <v>139983.15358979546</v>
      </c>
      <c r="I148" s="343">
        <f t="shared" si="71"/>
        <v>279966.30717959092</v>
      </c>
      <c r="J148" s="343">
        <f t="shared" si="72"/>
        <v>559932.61435918184</v>
      </c>
      <c r="K148" s="344">
        <f t="shared" si="73"/>
        <v>1119865.2287183637</v>
      </c>
      <c r="L148" s="343">
        <f t="shared" si="74"/>
        <v>2222232.5632380028</v>
      </c>
    </row>
    <row r="149" spans="1:13" s="6" customFormat="1" ht="19.899999999999999" customHeight="1">
      <c r="A149" s="190" t="s">
        <v>42</v>
      </c>
      <c r="B149" s="191"/>
      <c r="C149" s="343"/>
      <c r="D149" s="343"/>
      <c r="E149" s="343"/>
      <c r="F149" s="343">
        <f>E148</f>
        <v>17497.894198724432</v>
      </c>
      <c r="G149" s="343">
        <f t="shared" si="69"/>
        <v>34995.788397448865</v>
      </c>
      <c r="H149" s="343">
        <f t="shared" si="70"/>
        <v>69991.57679489773</v>
      </c>
      <c r="I149" s="343">
        <f t="shared" si="71"/>
        <v>139983.15358979546</v>
      </c>
      <c r="J149" s="343">
        <f t="shared" si="72"/>
        <v>279966.30717959092</v>
      </c>
      <c r="K149" s="344">
        <f t="shared" si="73"/>
        <v>559932.61435918184</v>
      </c>
      <c r="L149" s="343">
        <f t="shared" si="74"/>
        <v>1102367.3345196391</v>
      </c>
      <c r="M149" s="336"/>
    </row>
    <row r="150" spans="1:13" s="6" customFormat="1" ht="19.899999999999999" customHeight="1">
      <c r="A150" s="190" t="s">
        <v>43</v>
      </c>
      <c r="B150" s="191"/>
      <c r="C150" s="343"/>
      <c r="D150" s="343"/>
      <c r="E150" s="343"/>
      <c r="F150" s="343"/>
      <c r="G150" s="343">
        <f>F149</f>
        <v>17497.894198724432</v>
      </c>
      <c r="H150" s="343">
        <f t="shared" si="70"/>
        <v>34995.788397448865</v>
      </c>
      <c r="I150" s="343">
        <f t="shared" si="71"/>
        <v>69991.57679489773</v>
      </c>
      <c r="J150" s="343">
        <f t="shared" si="72"/>
        <v>139983.15358979546</v>
      </c>
      <c r="K150" s="344">
        <f t="shared" si="73"/>
        <v>279966.30717959092</v>
      </c>
      <c r="L150" s="343">
        <f t="shared" si="74"/>
        <v>542434.72016045742</v>
      </c>
      <c r="M150" s="336"/>
    </row>
    <row r="151" spans="1:13" s="6" customFormat="1" ht="19.899999999999999" customHeight="1">
      <c r="A151" s="190" t="s">
        <v>44</v>
      </c>
      <c r="B151" s="191"/>
      <c r="C151" s="343"/>
      <c r="D151" s="343"/>
      <c r="E151" s="343"/>
      <c r="F151" s="343"/>
      <c r="G151" s="343"/>
      <c r="H151" s="343">
        <f>G150</f>
        <v>17497.894198724432</v>
      </c>
      <c r="I151" s="343">
        <f t="shared" si="71"/>
        <v>34995.788397448865</v>
      </c>
      <c r="J151" s="343">
        <f t="shared" si="72"/>
        <v>69991.57679489773</v>
      </c>
      <c r="K151" s="344">
        <f t="shared" si="73"/>
        <v>139983.15358979546</v>
      </c>
      <c r="L151" s="343">
        <f t="shared" si="74"/>
        <v>262468.4129808665</v>
      </c>
      <c r="M151" s="336"/>
    </row>
    <row r="152" spans="1:13" s="6" customFormat="1" ht="19.899999999999999" customHeight="1">
      <c r="A152" s="190" t="s">
        <v>45</v>
      </c>
      <c r="B152" s="191"/>
      <c r="C152" s="343"/>
      <c r="D152" s="343"/>
      <c r="E152" s="343"/>
      <c r="F152" s="343"/>
      <c r="G152" s="343"/>
      <c r="H152" s="343"/>
      <c r="I152" s="343">
        <f>H151</f>
        <v>17497.894198724432</v>
      </c>
      <c r="J152" s="343">
        <f t="shared" si="72"/>
        <v>34995.788397448865</v>
      </c>
      <c r="K152" s="344">
        <f t="shared" si="73"/>
        <v>69991.57679489773</v>
      </c>
      <c r="L152" s="343">
        <f t="shared" si="74"/>
        <v>122485.25939107103</v>
      </c>
      <c r="M152" s="336"/>
    </row>
    <row r="153" spans="1:13" s="6" customFormat="1" ht="19.899999999999999" customHeight="1">
      <c r="A153" s="190" t="s">
        <v>46</v>
      </c>
      <c r="B153" s="191"/>
      <c r="C153" s="343"/>
      <c r="D153" s="343"/>
      <c r="E153" s="343"/>
      <c r="F153" s="343"/>
      <c r="G153" s="343"/>
      <c r="H153" s="343"/>
      <c r="I153" s="343"/>
      <c r="J153" s="343">
        <f>I152</f>
        <v>17497.894198724432</v>
      </c>
      <c r="K153" s="344">
        <f>J152</f>
        <v>34995.788397448865</v>
      </c>
      <c r="L153" s="343">
        <f t="shared" si="74"/>
        <v>52493.682596173297</v>
      </c>
      <c r="M153" s="336"/>
    </row>
    <row r="154" spans="1:13" s="6" customFormat="1" ht="19.899999999999999" customHeight="1">
      <c r="A154" s="347" t="s">
        <v>47</v>
      </c>
      <c r="B154" s="348"/>
      <c r="C154" s="348"/>
      <c r="D154" s="348"/>
      <c r="E154" s="348"/>
      <c r="F154" s="348"/>
      <c r="G154" s="348"/>
      <c r="H154" s="348"/>
      <c r="I154" s="348"/>
      <c r="J154" s="348"/>
      <c r="K154" s="349">
        <f>J153</f>
        <v>17497.894198724432</v>
      </c>
      <c r="L154" s="350">
        <f t="shared" si="74"/>
        <v>17497.894198724432</v>
      </c>
      <c r="M154" s="336"/>
    </row>
    <row r="155" spans="1:13" s="6" customFormat="1" ht="19.899999999999999" customHeight="1">
      <c r="A155" s="340" t="s">
        <v>1224</v>
      </c>
      <c r="B155" s="351">
        <f>SUM(B145:B154)</f>
        <v>17497.894198724432</v>
      </c>
      <c r="C155" s="351">
        <f t="shared" ref="C155:K155" si="75">SUM(C145:C154)</f>
        <v>52493.682596173297</v>
      </c>
      <c r="D155" s="351">
        <f t="shared" si="75"/>
        <v>122485.25939107103</v>
      </c>
      <c r="E155" s="351">
        <f t="shared" si="75"/>
        <v>262468.4129808665</v>
      </c>
      <c r="F155" s="351">
        <f t="shared" si="75"/>
        <v>542434.72016045742</v>
      </c>
      <c r="G155" s="351">
        <f t="shared" si="75"/>
        <v>1102367.3345196394</v>
      </c>
      <c r="H155" s="351">
        <f t="shared" si="75"/>
        <v>2222232.5632380033</v>
      </c>
      <c r="I155" s="351">
        <f t="shared" si="75"/>
        <v>4461963.0206747307</v>
      </c>
      <c r="J155" s="351">
        <f t="shared" si="75"/>
        <v>8941423.9355481863</v>
      </c>
      <c r="K155" s="352">
        <f t="shared" si="75"/>
        <v>17900345.765295096</v>
      </c>
      <c r="L155" s="343">
        <f>SUM(B155:K155)</f>
        <v>35625712.588602945</v>
      </c>
      <c r="M155" s="353">
        <f>SUM(L145:L154)</f>
        <v>35625712.588602945</v>
      </c>
    </row>
    <row r="156" spans="1:13" s="6" customFormat="1" ht="19.899999999999999" customHeight="1" thickBot="1">
      <c r="A156" s="354" t="s">
        <v>1215</v>
      </c>
      <c r="B156" s="355">
        <f t="shared" ref="B156:K156" si="76">+B155/((1+$B$23)^B$176)</f>
        <v>16824.898268004261</v>
      </c>
      <c r="C156" s="355">
        <f t="shared" si="76"/>
        <v>48533.360388473826</v>
      </c>
      <c r="D156" s="355">
        <f t="shared" si="76"/>
        <v>108888.94958952462</v>
      </c>
      <c r="E156" s="355">
        <f t="shared" si="76"/>
        <v>224359.09942896554</v>
      </c>
      <c r="F156" s="355">
        <f t="shared" si="76"/>
        <v>445841.80014730326</v>
      </c>
      <c r="G156" s="355">
        <f t="shared" si="76"/>
        <v>871216.91716129368</v>
      </c>
      <c r="H156" s="355">
        <f t="shared" si="76"/>
        <v>1688714.1098822393</v>
      </c>
      <c r="I156" s="355">
        <f t="shared" si="76"/>
        <v>3260312.6742880899</v>
      </c>
      <c r="J156" s="355">
        <f t="shared" si="76"/>
        <v>6282125.8543032194</v>
      </c>
      <c r="K156" s="356">
        <f t="shared" si="76"/>
        <v>12092832.208625983</v>
      </c>
      <c r="L156" s="355">
        <f>SUM(B156:K156)</f>
        <v>25039649.872083098</v>
      </c>
      <c r="M156" s="336"/>
    </row>
    <row r="157" spans="1:13" s="6" customFormat="1" ht="19.899999999999999" customHeight="1">
      <c r="A157" s="357"/>
      <c r="B157" s="191"/>
      <c r="C157" s="191"/>
      <c r="D157" s="191"/>
      <c r="E157" s="191"/>
      <c r="F157" s="191"/>
      <c r="G157" s="191"/>
      <c r="H157" s="191"/>
      <c r="I157" s="191"/>
      <c r="J157" s="191"/>
      <c r="K157" s="191"/>
      <c r="L157" s="191"/>
      <c r="M157" s="336"/>
    </row>
    <row r="158" spans="1:13" s="6" customFormat="1" ht="19.899999999999999" customHeight="1" thickBot="1">
      <c r="A158" s="297" t="s">
        <v>61</v>
      </c>
      <c r="B158" s="296">
        <f t="shared" ref="B158:I158" si="77">C158*0.5</f>
        <v>1.3539017953725964E-3</v>
      </c>
      <c r="C158" s="296">
        <f t="shared" si="77"/>
        <v>2.7078035907451927E-3</v>
      </c>
      <c r="D158" s="296">
        <f t="shared" si="77"/>
        <v>5.4156071814903855E-3</v>
      </c>
      <c r="E158" s="296">
        <f t="shared" si="77"/>
        <v>1.0831214362980771E-2</v>
      </c>
      <c r="F158" s="296">
        <f t="shared" si="77"/>
        <v>2.1662428725961542E-2</v>
      </c>
      <c r="G158" s="296">
        <f t="shared" si="77"/>
        <v>4.3324857451923084E-2</v>
      </c>
      <c r="H158" s="296">
        <f t="shared" si="77"/>
        <v>8.6649714903846167E-2</v>
      </c>
      <c r="I158" s="296">
        <f t="shared" si="77"/>
        <v>0.17329942980769233</v>
      </c>
      <c r="J158" s="296">
        <f>K158*0.5</f>
        <v>0.34659885961538467</v>
      </c>
      <c r="K158" s="296">
        <f>D44*100</f>
        <v>0.69319771923076934</v>
      </c>
    </row>
    <row r="159" spans="1:13" s="6" customFormat="1" ht="19.899999999999999" customHeight="1">
      <c r="A159" s="338"/>
      <c r="B159" s="696" t="s">
        <v>56</v>
      </c>
      <c r="C159" s="697"/>
      <c r="D159" s="697"/>
      <c r="E159" s="697"/>
      <c r="F159" s="697"/>
      <c r="G159" s="697"/>
      <c r="H159" s="697"/>
      <c r="I159" s="697"/>
      <c r="J159" s="697"/>
      <c r="K159" s="698"/>
      <c r="L159" s="339"/>
      <c r="M159" s="5"/>
    </row>
    <row r="160" spans="1:13" s="6" customFormat="1" ht="19.899999999999999" customHeight="1">
      <c r="A160" s="340" t="s">
        <v>1195</v>
      </c>
      <c r="B160" s="293">
        <v>1</v>
      </c>
      <c r="C160" s="294">
        <v>2</v>
      </c>
      <c r="D160" s="294">
        <v>3</v>
      </c>
      <c r="E160" s="294">
        <v>4</v>
      </c>
      <c r="F160" s="294">
        <v>5</v>
      </c>
      <c r="G160" s="294">
        <v>6</v>
      </c>
      <c r="H160" s="294">
        <v>7</v>
      </c>
      <c r="I160" s="295">
        <v>8</v>
      </c>
      <c r="J160" s="295">
        <v>9</v>
      </c>
      <c r="K160" s="341">
        <v>10</v>
      </c>
      <c r="L160" s="342" t="s">
        <v>147</v>
      </c>
      <c r="M160" s="7"/>
    </row>
    <row r="161" spans="1:13" s="6" customFormat="1" ht="19.899999999999999" customHeight="1">
      <c r="A161" s="359" t="s">
        <v>38</v>
      </c>
      <c r="B161" s="343">
        <f>$B$44*$C$44*(B$158*$E$44)*(1-$F$44)</f>
        <v>27874.092607457405</v>
      </c>
      <c r="C161" s="343">
        <f t="shared" ref="C161:K161" si="78">$B$44*$C$44*(C$158*$E$44)*(1-$F$44)</f>
        <v>55748.185214914811</v>
      </c>
      <c r="D161" s="343">
        <f t="shared" si="78"/>
        <v>111496.37042982962</v>
      </c>
      <c r="E161" s="343">
        <f t="shared" si="78"/>
        <v>222992.74085965924</v>
      </c>
      <c r="F161" s="343">
        <f t="shared" si="78"/>
        <v>445985.48171931849</v>
      </c>
      <c r="G161" s="343">
        <f t="shared" si="78"/>
        <v>891970.96343863697</v>
      </c>
      <c r="H161" s="343">
        <f t="shared" si="78"/>
        <v>1783941.9268772739</v>
      </c>
      <c r="I161" s="343">
        <f t="shared" si="78"/>
        <v>3567883.8537545479</v>
      </c>
      <c r="J161" s="343">
        <f t="shared" si="78"/>
        <v>7135767.7075090958</v>
      </c>
      <c r="K161" s="360">
        <f t="shared" si="78"/>
        <v>14271535.415018192</v>
      </c>
      <c r="L161" s="343">
        <f>SUM(B161:K161)</f>
        <v>28515196.737428926</v>
      </c>
    </row>
    <row r="162" spans="1:13" s="6" customFormat="1" ht="19.899999999999999" customHeight="1">
      <c r="A162" s="190" t="s">
        <v>39</v>
      </c>
      <c r="B162" s="191"/>
      <c r="C162" s="343">
        <f>B161</f>
        <v>27874.092607457405</v>
      </c>
      <c r="D162" s="343">
        <f t="shared" ref="D162" si="79">C161</f>
        <v>55748.185214914811</v>
      </c>
      <c r="E162" s="343">
        <f t="shared" ref="E162:E163" si="80">D161</f>
        <v>111496.37042982962</v>
      </c>
      <c r="F162" s="343">
        <f t="shared" ref="F162:F164" si="81">E161</f>
        <v>222992.74085965924</v>
      </c>
      <c r="G162" s="343">
        <f t="shared" ref="G162:G165" si="82">F161</f>
        <v>445985.48171931849</v>
      </c>
      <c r="H162" s="343">
        <f t="shared" ref="H162:H166" si="83">G161</f>
        <v>891970.96343863697</v>
      </c>
      <c r="I162" s="343">
        <f t="shared" ref="I162:I167" si="84">H161</f>
        <v>1783941.9268772739</v>
      </c>
      <c r="J162" s="343">
        <f t="shared" ref="J162:J168" si="85">I161</f>
        <v>3567883.8537545479</v>
      </c>
      <c r="K162" s="344">
        <f t="shared" ref="K162:K168" si="86">J161</f>
        <v>7135767.7075090958</v>
      </c>
      <c r="L162" s="343">
        <f t="shared" ref="L162:L170" si="87">SUM(B162:K162)</f>
        <v>14243661.322410733</v>
      </c>
    </row>
    <row r="163" spans="1:13" s="6" customFormat="1" ht="19.899999999999999" customHeight="1">
      <c r="A163" s="190" t="s">
        <v>40</v>
      </c>
      <c r="B163" s="191"/>
      <c r="C163" s="343"/>
      <c r="D163" s="343">
        <f>C162</f>
        <v>27874.092607457405</v>
      </c>
      <c r="E163" s="343">
        <f t="shared" si="80"/>
        <v>55748.185214914811</v>
      </c>
      <c r="F163" s="343">
        <f t="shared" si="81"/>
        <v>111496.37042982962</v>
      </c>
      <c r="G163" s="343">
        <f t="shared" si="82"/>
        <v>222992.74085965924</v>
      </c>
      <c r="H163" s="343">
        <f t="shared" si="83"/>
        <v>445985.48171931849</v>
      </c>
      <c r="I163" s="343">
        <f t="shared" si="84"/>
        <v>891970.96343863697</v>
      </c>
      <c r="J163" s="343">
        <f t="shared" si="85"/>
        <v>1783941.9268772739</v>
      </c>
      <c r="K163" s="344">
        <f t="shared" si="86"/>
        <v>3567883.8537545479</v>
      </c>
      <c r="L163" s="343">
        <f t="shared" si="87"/>
        <v>7107893.6149016377</v>
      </c>
    </row>
    <row r="164" spans="1:13" s="6" customFormat="1" ht="19.899999999999999" customHeight="1">
      <c r="A164" s="190" t="s">
        <v>41</v>
      </c>
      <c r="B164" s="191"/>
      <c r="C164" s="343"/>
      <c r="D164" s="343"/>
      <c r="E164" s="343">
        <f>D163</f>
        <v>27874.092607457405</v>
      </c>
      <c r="F164" s="343">
        <f t="shared" si="81"/>
        <v>55748.185214914811</v>
      </c>
      <c r="G164" s="343">
        <f t="shared" si="82"/>
        <v>111496.37042982962</v>
      </c>
      <c r="H164" s="343">
        <f t="shared" si="83"/>
        <v>222992.74085965924</v>
      </c>
      <c r="I164" s="343">
        <f t="shared" si="84"/>
        <v>445985.48171931849</v>
      </c>
      <c r="J164" s="343">
        <f t="shared" si="85"/>
        <v>891970.96343863697</v>
      </c>
      <c r="K164" s="344">
        <f t="shared" si="86"/>
        <v>1783941.9268772739</v>
      </c>
      <c r="L164" s="343">
        <f t="shared" si="87"/>
        <v>3540009.7611470902</v>
      </c>
    </row>
    <row r="165" spans="1:13" s="6" customFormat="1" ht="19.899999999999999" customHeight="1">
      <c r="A165" s="190" t="s">
        <v>42</v>
      </c>
      <c r="B165" s="191"/>
      <c r="C165" s="343"/>
      <c r="D165" s="343"/>
      <c r="E165" s="343"/>
      <c r="F165" s="343">
        <f>E164</f>
        <v>27874.092607457405</v>
      </c>
      <c r="G165" s="343">
        <f t="shared" si="82"/>
        <v>55748.185214914811</v>
      </c>
      <c r="H165" s="343">
        <f t="shared" si="83"/>
        <v>111496.37042982962</v>
      </c>
      <c r="I165" s="343">
        <f t="shared" si="84"/>
        <v>222992.74085965924</v>
      </c>
      <c r="J165" s="343">
        <f t="shared" si="85"/>
        <v>445985.48171931849</v>
      </c>
      <c r="K165" s="344">
        <f t="shared" si="86"/>
        <v>891970.96343863697</v>
      </c>
      <c r="L165" s="343">
        <f t="shared" si="87"/>
        <v>1756067.8342698165</v>
      </c>
      <c r="M165" s="336"/>
    </row>
    <row r="166" spans="1:13" s="6" customFormat="1" ht="19.899999999999999" customHeight="1">
      <c r="A166" s="190" t="s">
        <v>43</v>
      </c>
      <c r="B166" s="191"/>
      <c r="C166" s="343"/>
      <c r="D166" s="343"/>
      <c r="E166" s="343"/>
      <c r="F166" s="343"/>
      <c r="G166" s="343">
        <f>F165</f>
        <v>27874.092607457405</v>
      </c>
      <c r="H166" s="343">
        <f t="shared" si="83"/>
        <v>55748.185214914811</v>
      </c>
      <c r="I166" s="343">
        <f t="shared" si="84"/>
        <v>111496.37042982962</v>
      </c>
      <c r="J166" s="343">
        <f t="shared" si="85"/>
        <v>222992.74085965924</v>
      </c>
      <c r="K166" s="344">
        <f t="shared" si="86"/>
        <v>445985.48171931849</v>
      </c>
      <c r="L166" s="343">
        <f t="shared" si="87"/>
        <v>864096.87083117967</v>
      </c>
      <c r="M166" s="336"/>
    </row>
    <row r="167" spans="1:13" s="6" customFormat="1" ht="19.899999999999999" customHeight="1">
      <c r="A167" s="190" t="s">
        <v>44</v>
      </c>
      <c r="B167" s="191"/>
      <c r="C167" s="343"/>
      <c r="D167" s="343"/>
      <c r="E167" s="343"/>
      <c r="F167" s="343"/>
      <c r="G167" s="343"/>
      <c r="H167" s="343">
        <f>G166</f>
        <v>27874.092607457405</v>
      </c>
      <c r="I167" s="343">
        <f t="shared" si="84"/>
        <v>55748.185214914811</v>
      </c>
      <c r="J167" s="343">
        <f t="shared" si="85"/>
        <v>111496.37042982962</v>
      </c>
      <c r="K167" s="344">
        <f t="shared" si="86"/>
        <v>222992.74085965924</v>
      </c>
      <c r="L167" s="343">
        <f t="shared" si="87"/>
        <v>418111.38911186112</v>
      </c>
      <c r="M167" s="336"/>
    </row>
    <row r="168" spans="1:13" s="6" customFormat="1" ht="19.899999999999999" customHeight="1">
      <c r="A168" s="190" t="s">
        <v>45</v>
      </c>
      <c r="B168" s="191"/>
      <c r="C168" s="343"/>
      <c r="D168" s="343"/>
      <c r="E168" s="343"/>
      <c r="F168" s="343"/>
      <c r="G168" s="343"/>
      <c r="H168" s="343"/>
      <c r="I168" s="343">
        <f>H167</f>
        <v>27874.092607457405</v>
      </c>
      <c r="J168" s="343">
        <f t="shared" si="85"/>
        <v>55748.185214914811</v>
      </c>
      <c r="K168" s="344">
        <f t="shared" si="86"/>
        <v>111496.37042982962</v>
      </c>
      <c r="L168" s="343">
        <f t="shared" si="87"/>
        <v>195118.64825220185</v>
      </c>
      <c r="M168" s="336"/>
    </row>
    <row r="169" spans="1:13" s="6" customFormat="1" ht="19.899999999999999" customHeight="1">
      <c r="A169" s="190" t="s">
        <v>46</v>
      </c>
      <c r="B169" s="191"/>
      <c r="C169" s="343"/>
      <c r="D169" s="343"/>
      <c r="E169" s="343"/>
      <c r="F169" s="343"/>
      <c r="G169" s="343"/>
      <c r="H169" s="343"/>
      <c r="I169" s="343"/>
      <c r="J169" s="343">
        <f>I168</f>
        <v>27874.092607457405</v>
      </c>
      <c r="K169" s="344">
        <f>J168</f>
        <v>55748.185214914811</v>
      </c>
      <c r="L169" s="343">
        <f t="shared" si="87"/>
        <v>83622.277822372213</v>
      </c>
      <c r="M169" s="336"/>
    </row>
    <row r="170" spans="1:13" s="6" customFormat="1" ht="19.899999999999999" customHeight="1">
      <c r="A170" s="347" t="s">
        <v>47</v>
      </c>
      <c r="B170" s="348"/>
      <c r="C170" s="348"/>
      <c r="D170" s="348"/>
      <c r="E170" s="348"/>
      <c r="F170" s="348"/>
      <c r="G170" s="348"/>
      <c r="H170" s="348"/>
      <c r="I170" s="348"/>
      <c r="J170" s="348"/>
      <c r="K170" s="349">
        <f>J169</f>
        <v>27874.092607457405</v>
      </c>
      <c r="L170" s="350">
        <f t="shared" si="87"/>
        <v>27874.092607457405</v>
      </c>
      <c r="M170" s="336"/>
    </row>
    <row r="171" spans="1:13" s="6" customFormat="1" ht="19.899999999999999" customHeight="1">
      <c r="A171" s="340" t="s">
        <v>1223</v>
      </c>
      <c r="B171" s="351">
        <f>SUM(B161:B170)</f>
        <v>27874.092607457405</v>
      </c>
      <c r="C171" s="351">
        <f t="shared" ref="C171:K171" si="88">SUM(C161:C170)</f>
        <v>83622.277822372213</v>
      </c>
      <c r="D171" s="351">
        <f t="shared" si="88"/>
        <v>195118.64825220182</v>
      </c>
      <c r="E171" s="351">
        <f t="shared" si="88"/>
        <v>418111.38911186106</v>
      </c>
      <c r="F171" s="351">
        <f t="shared" si="88"/>
        <v>864096.87083117955</v>
      </c>
      <c r="G171" s="351">
        <f t="shared" si="88"/>
        <v>1756067.8342698165</v>
      </c>
      <c r="H171" s="351">
        <f t="shared" si="88"/>
        <v>3540009.7611470902</v>
      </c>
      <c r="I171" s="351">
        <f t="shared" si="88"/>
        <v>7107893.6149016377</v>
      </c>
      <c r="J171" s="351">
        <f t="shared" si="88"/>
        <v>14243661.322410733</v>
      </c>
      <c r="K171" s="352">
        <f t="shared" si="88"/>
        <v>28515196.737428922</v>
      </c>
      <c r="L171" s="343">
        <f>SUM(B171:K171)</f>
        <v>56751652.548783273</v>
      </c>
      <c r="M171" s="353">
        <f>SUM(L161:L170)</f>
        <v>56751652.54878328</v>
      </c>
    </row>
    <row r="172" spans="1:13" s="6" customFormat="1" ht="19.899999999999999" customHeight="1" thickBot="1">
      <c r="A172" s="354" t="s">
        <v>1215</v>
      </c>
      <c r="B172" s="355">
        <f t="shared" ref="B172:K172" si="89">+B171/((1+$B$23)^B$176)</f>
        <v>26802.012122555196</v>
      </c>
      <c r="C172" s="355">
        <f t="shared" si="89"/>
        <v>77313.496507370757</v>
      </c>
      <c r="D172" s="355">
        <f t="shared" si="89"/>
        <v>173459.76780499847</v>
      </c>
      <c r="E172" s="355">
        <f t="shared" si="89"/>
        <v>357403.36773007928</v>
      </c>
      <c r="F172" s="355">
        <f t="shared" si="89"/>
        <v>710224.64100208052</v>
      </c>
      <c r="G172" s="355">
        <f t="shared" si="89"/>
        <v>1387845.9175909141</v>
      </c>
      <c r="H172" s="355">
        <f t="shared" si="89"/>
        <v>2690116.476404855</v>
      </c>
      <c r="I172" s="355">
        <f t="shared" si="89"/>
        <v>5193668.2426047688</v>
      </c>
      <c r="J172" s="355">
        <f t="shared" si="89"/>
        <v>10007407.511203004</v>
      </c>
      <c r="K172" s="356">
        <f t="shared" si="89"/>
        <v>19263845.182825293</v>
      </c>
      <c r="L172" s="355">
        <f>SUM(B172:K172)</f>
        <v>39888086.615795925</v>
      </c>
      <c r="M172" s="336"/>
    </row>
    <row r="173" spans="1:13" s="6" customFormat="1" ht="19.899999999999999" customHeight="1">
      <c r="A173" s="357"/>
      <c r="B173" s="191"/>
      <c r="C173" s="191"/>
      <c r="D173" s="191"/>
      <c r="E173" s="191"/>
      <c r="F173" s="191"/>
      <c r="G173" s="191"/>
      <c r="H173" s="191"/>
      <c r="I173" s="191"/>
      <c r="J173" s="191"/>
      <c r="K173" s="191"/>
      <c r="L173" s="191"/>
      <c r="M173" s="336"/>
    </row>
    <row r="174" spans="1:13" s="6" customFormat="1" ht="19.899999999999999" customHeight="1" thickBot="1">
      <c r="A174" s="297" t="s">
        <v>61</v>
      </c>
      <c r="B174" s="296">
        <f t="shared" ref="B174:I174" si="90">C174*0.5</f>
        <v>1.5320875976562499E-3</v>
      </c>
      <c r="C174" s="296">
        <f t="shared" si="90"/>
        <v>3.0641751953124998E-3</v>
      </c>
      <c r="D174" s="296">
        <f t="shared" si="90"/>
        <v>6.1283503906249997E-3</v>
      </c>
      <c r="E174" s="296">
        <f t="shared" si="90"/>
        <v>1.2256700781249999E-2</v>
      </c>
      <c r="F174" s="296">
        <f t="shared" si="90"/>
        <v>2.4513401562499999E-2</v>
      </c>
      <c r="G174" s="296">
        <f t="shared" si="90"/>
        <v>4.9026803124999997E-2</v>
      </c>
      <c r="H174" s="296">
        <f t="shared" si="90"/>
        <v>9.8053606249999994E-2</v>
      </c>
      <c r="I174" s="296">
        <f t="shared" si="90"/>
        <v>0.19610721249999999</v>
      </c>
      <c r="J174" s="296">
        <f>K174*0.5</f>
        <v>0.39221442499999998</v>
      </c>
      <c r="K174" s="296">
        <f>D45*100</f>
        <v>0.78442884999999996</v>
      </c>
    </row>
    <row r="175" spans="1:13" s="6" customFormat="1" ht="19.899999999999999" customHeight="1">
      <c r="A175" s="338"/>
      <c r="B175" s="696" t="s">
        <v>56</v>
      </c>
      <c r="C175" s="697"/>
      <c r="D175" s="697"/>
      <c r="E175" s="697"/>
      <c r="F175" s="697"/>
      <c r="G175" s="697"/>
      <c r="H175" s="697"/>
      <c r="I175" s="697"/>
      <c r="J175" s="697"/>
      <c r="K175" s="698"/>
      <c r="L175" s="339"/>
      <c r="M175" s="5"/>
    </row>
    <row r="176" spans="1:13" s="6" customFormat="1" ht="19.899999999999999" customHeight="1">
      <c r="A176" s="340" t="s">
        <v>1199</v>
      </c>
      <c r="B176" s="293">
        <v>1</v>
      </c>
      <c r="C176" s="294">
        <v>2</v>
      </c>
      <c r="D176" s="294">
        <v>3</v>
      </c>
      <c r="E176" s="294">
        <v>4</v>
      </c>
      <c r="F176" s="294">
        <v>5</v>
      </c>
      <c r="G176" s="294">
        <v>6</v>
      </c>
      <c r="H176" s="294">
        <v>7</v>
      </c>
      <c r="I176" s="295">
        <v>8</v>
      </c>
      <c r="J176" s="295">
        <v>9</v>
      </c>
      <c r="K176" s="341">
        <v>10</v>
      </c>
      <c r="L176" s="342" t="s">
        <v>147</v>
      </c>
      <c r="M176" s="7"/>
    </row>
    <row r="177" spans="1:13" s="6" customFormat="1" ht="19.899999999999999" customHeight="1">
      <c r="A177" s="359" t="s">
        <v>38</v>
      </c>
      <c r="B177" s="343">
        <f>$B$45*$C$45*(B$174*$E$45)*(1-$F$45)</f>
        <v>35693.86725616402</v>
      </c>
      <c r="C177" s="343">
        <f t="shared" ref="C177:K177" si="91">$B$45*$C$45*(C$174*$E$45)*(1-$F$45)</f>
        <v>71387.734512328039</v>
      </c>
      <c r="D177" s="343">
        <f t="shared" si="91"/>
        <v>142775.46902465608</v>
      </c>
      <c r="E177" s="343">
        <f t="shared" si="91"/>
        <v>285550.93804931216</v>
      </c>
      <c r="F177" s="343">
        <f t="shared" si="91"/>
        <v>571101.87609862431</v>
      </c>
      <c r="G177" s="343">
        <f t="shared" si="91"/>
        <v>1142203.7521972486</v>
      </c>
      <c r="H177" s="343">
        <f t="shared" si="91"/>
        <v>2284407.5043944973</v>
      </c>
      <c r="I177" s="343">
        <f t="shared" si="91"/>
        <v>4568815.0087889945</v>
      </c>
      <c r="J177" s="343">
        <f t="shared" si="91"/>
        <v>9137630.017577989</v>
      </c>
      <c r="K177" s="360">
        <f t="shared" si="91"/>
        <v>18275260.035155978</v>
      </c>
      <c r="L177" s="343">
        <f>SUM(B177:K177)</f>
        <v>36514826.203055799</v>
      </c>
    </row>
    <row r="178" spans="1:13" s="6" customFormat="1" ht="19.899999999999999" customHeight="1">
      <c r="A178" s="190" t="s">
        <v>39</v>
      </c>
      <c r="B178" s="191"/>
      <c r="C178" s="343">
        <f>B177</f>
        <v>35693.86725616402</v>
      </c>
      <c r="D178" s="343">
        <f t="shared" ref="D178:K184" si="92">C177</f>
        <v>71387.734512328039</v>
      </c>
      <c r="E178" s="343">
        <f t="shared" si="92"/>
        <v>142775.46902465608</v>
      </c>
      <c r="F178" s="343">
        <f t="shared" si="92"/>
        <v>285550.93804931216</v>
      </c>
      <c r="G178" s="343">
        <f t="shared" si="92"/>
        <v>571101.87609862431</v>
      </c>
      <c r="H178" s="343">
        <f t="shared" si="92"/>
        <v>1142203.7521972486</v>
      </c>
      <c r="I178" s="343">
        <f t="shared" si="92"/>
        <v>2284407.5043944973</v>
      </c>
      <c r="J178" s="343">
        <f t="shared" si="92"/>
        <v>4568815.0087889945</v>
      </c>
      <c r="K178" s="344">
        <f t="shared" si="92"/>
        <v>9137630.017577989</v>
      </c>
      <c r="L178" s="343">
        <f t="shared" ref="L178:L186" si="93">SUM(B178:K178)</f>
        <v>18239566.167899817</v>
      </c>
    </row>
    <row r="179" spans="1:13" s="6" customFormat="1" ht="19.899999999999999" customHeight="1">
      <c r="A179" s="190" t="s">
        <v>40</v>
      </c>
      <c r="B179" s="191"/>
      <c r="C179" s="343"/>
      <c r="D179" s="343">
        <f>C178</f>
        <v>35693.86725616402</v>
      </c>
      <c r="E179" s="343">
        <f t="shared" si="92"/>
        <v>71387.734512328039</v>
      </c>
      <c r="F179" s="343">
        <f t="shared" si="92"/>
        <v>142775.46902465608</v>
      </c>
      <c r="G179" s="343">
        <f t="shared" si="92"/>
        <v>285550.93804931216</v>
      </c>
      <c r="H179" s="343">
        <f t="shared" si="92"/>
        <v>571101.87609862431</v>
      </c>
      <c r="I179" s="343">
        <f t="shared" si="92"/>
        <v>1142203.7521972486</v>
      </c>
      <c r="J179" s="343">
        <f t="shared" si="92"/>
        <v>2284407.5043944973</v>
      </c>
      <c r="K179" s="344">
        <f t="shared" si="92"/>
        <v>4568815.0087889945</v>
      </c>
      <c r="L179" s="343">
        <f t="shared" si="93"/>
        <v>9101936.1503218263</v>
      </c>
    </row>
    <row r="180" spans="1:13" s="6" customFormat="1" ht="19.899999999999999" customHeight="1">
      <c r="A180" s="190" t="s">
        <v>41</v>
      </c>
      <c r="B180" s="191"/>
      <c r="C180" s="343"/>
      <c r="D180" s="343"/>
      <c r="E180" s="343">
        <f>D179</f>
        <v>35693.86725616402</v>
      </c>
      <c r="F180" s="343">
        <f t="shared" si="92"/>
        <v>71387.734512328039</v>
      </c>
      <c r="G180" s="343">
        <f t="shared" si="92"/>
        <v>142775.46902465608</v>
      </c>
      <c r="H180" s="343">
        <f t="shared" si="92"/>
        <v>285550.93804931216</v>
      </c>
      <c r="I180" s="343">
        <f t="shared" si="92"/>
        <v>571101.87609862431</v>
      </c>
      <c r="J180" s="343">
        <f t="shared" si="92"/>
        <v>1142203.7521972486</v>
      </c>
      <c r="K180" s="344">
        <f t="shared" si="92"/>
        <v>2284407.5043944973</v>
      </c>
      <c r="L180" s="343">
        <f t="shared" si="93"/>
        <v>4533121.1415328309</v>
      </c>
    </row>
    <row r="181" spans="1:13" s="6" customFormat="1" ht="19.899999999999999" customHeight="1">
      <c r="A181" s="190" t="s">
        <v>42</v>
      </c>
      <c r="B181" s="191"/>
      <c r="C181" s="343"/>
      <c r="D181" s="343"/>
      <c r="E181" s="343"/>
      <c r="F181" s="343">
        <f>E180</f>
        <v>35693.86725616402</v>
      </c>
      <c r="G181" s="343">
        <f t="shared" si="92"/>
        <v>71387.734512328039</v>
      </c>
      <c r="H181" s="343">
        <f t="shared" si="92"/>
        <v>142775.46902465608</v>
      </c>
      <c r="I181" s="343">
        <f t="shared" si="92"/>
        <v>285550.93804931216</v>
      </c>
      <c r="J181" s="343">
        <f t="shared" si="92"/>
        <v>571101.87609862431</v>
      </c>
      <c r="K181" s="344">
        <f t="shared" si="92"/>
        <v>1142203.7521972486</v>
      </c>
      <c r="L181" s="343">
        <f t="shared" si="93"/>
        <v>2248713.6371383332</v>
      </c>
      <c r="M181" s="336"/>
    </row>
    <row r="182" spans="1:13" s="6" customFormat="1" ht="19.899999999999999" customHeight="1">
      <c r="A182" s="190" t="s">
        <v>43</v>
      </c>
      <c r="B182" s="191"/>
      <c r="C182" s="343"/>
      <c r="D182" s="343"/>
      <c r="E182" s="343"/>
      <c r="F182" s="343"/>
      <c r="G182" s="343">
        <f>F181</f>
        <v>35693.86725616402</v>
      </c>
      <c r="H182" s="343">
        <f t="shared" si="92"/>
        <v>71387.734512328039</v>
      </c>
      <c r="I182" s="343">
        <f t="shared" si="92"/>
        <v>142775.46902465608</v>
      </c>
      <c r="J182" s="343">
        <f t="shared" si="92"/>
        <v>285550.93804931216</v>
      </c>
      <c r="K182" s="344">
        <f t="shared" si="92"/>
        <v>571101.87609862431</v>
      </c>
      <c r="L182" s="343">
        <f t="shared" si="93"/>
        <v>1106509.8849410848</v>
      </c>
      <c r="M182" s="336"/>
    </row>
    <row r="183" spans="1:13" s="6" customFormat="1" ht="19.899999999999999" customHeight="1">
      <c r="A183" s="190" t="s">
        <v>44</v>
      </c>
      <c r="B183" s="191"/>
      <c r="C183" s="343"/>
      <c r="D183" s="343"/>
      <c r="E183" s="343"/>
      <c r="F183" s="343"/>
      <c r="G183" s="343"/>
      <c r="H183" s="343">
        <f>G182</f>
        <v>35693.86725616402</v>
      </c>
      <c r="I183" s="343">
        <f t="shared" si="92"/>
        <v>71387.734512328039</v>
      </c>
      <c r="J183" s="343">
        <f t="shared" si="92"/>
        <v>142775.46902465608</v>
      </c>
      <c r="K183" s="344">
        <f t="shared" si="92"/>
        <v>285550.93804931216</v>
      </c>
      <c r="L183" s="343">
        <f t="shared" si="93"/>
        <v>535408.00884246035</v>
      </c>
      <c r="M183" s="336"/>
    </row>
    <row r="184" spans="1:13" s="6" customFormat="1" ht="19.899999999999999" customHeight="1">
      <c r="A184" s="190" t="s">
        <v>45</v>
      </c>
      <c r="B184" s="191"/>
      <c r="C184" s="343"/>
      <c r="D184" s="343"/>
      <c r="E184" s="343"/>
      <c r="F184" s="343"/>
      <c r="G184" s="343"/>
      <c r="H184" s="343"/>
      <c r="I184" s="343">
        <f>H183</f>
        <v>35693.86725616402</v>
      </c>
      <c r="J184" s="343">
        <f t="shared" si="92"/>
        <v>71387.734512328039</v>
      </c>
      <c r="K184" s="344">
        <f t="shared" si="92"/>
        <v>142775.46902465608</v>
      </c>
      <c r="L184" s="343">
        <f t="shared" si="93"/>
        <v>249857.07079314813</v>
      </c>
      <c r="M184" s="336"/>
    </row>
    <row r="185" spans="1:13" s="6" customFormat="1" ht="19.899999999999999" customHeight="1">
      <c r="A185" s="190" t="s">
        <v>46</v>
      </c>
      <c r="B185" s="191"/>
      <c r="C185" s="343"/>
      <c r="D185" s="343"/>
      <c r="E185" s="343"/>
      <c r="F185" s="343"/>
      <c r="G185" s="343"/>
      <c r="H185" s="343"/>
      <c r="I185" s="343"/>
      <c r="J185" s="343">
        <f>I184</f>
        <v>35693.86725616402</v>
      </c>
      <c r="K185" s="344">
        <f>J184</f>
        <v>71387.734512328039</v>
      </c>
      <c r="L185" s="343">
        <f t="shared" si="93"/>
        <v>107081.60176849205</v>
      </c>
      <c r="M185" s="336"/>
    </row>
    <row r="186" spans="1:13" s="6" customFormat="1" ht="19.899999999999999" customHeight="1">
      <c r="A186" s="347" t="s">
        <v>47</v>
      </c>
      <c r="B186" s="348"/>
      <c r="C186" s="348"/>
      <c r="D186" s="348"/>
      <c r="E186" s="348"/>
      <c r="F186" s="348"/>
      <c r="G186" s="348"/>
      <c r="H186" s="348"/>
      <c r="I186" s="348"/>
      <c r="J186" s="348"/>
      <c r="K186" s="349">
        <f>J185</f>
        <v>35693.86725616402</v>
      </c>
      <c r="L186" s="350">
        <f t="shared" si="93"/>
        <v>35693.86725616402</v>
      </c>
      <c r="M186" s="336"/>
    </row>
    <row r="187" spans="1:13" s="6" customFormat="1" ht="19.899999999999999" customHeight="1">
      <c r="A187" s="340" t="s">
        <v>1228</v>
      </c>
      <c r="B187" s="351">
        <f>SUM(B177:B186)</f>
        <v>35693.86725616402</v>
      </c>
      <c r="C187" s="351">
        <f t="shared" ref="C187:K187" si="94">SUM(C177:C186)</f>
        <v>107081.60176849205</v>
      </c>
      <c r="D187" s="351">
        <f t="shared" si="94"/>
        <v>249857.07079314813</v>
      </c>
      <c r="E187" s="351">
        <f t="shared" si="94"/>
        <v>535408.00884246023</v>
      </c>
      <c r="F187" s="351">
        <f t="shared" si="94"/>
        <v>1106509.8849410845</v>
      </c>
      <c r="G187" s="351">
        <f t="shared" si="94"/>
        <v>2248713.6371383332</v>
      </c>
      <c r="H187" s="351">
        <f t="shared" si="94"/>
        <v>4533121.14153283</v>
      </c>
      <c r="I187" s="351">
        <f t="shared" si="94"/>
        <v>9101936.1503218245</v>
      </c>
      <c r="J187" s="351">
        <f t="shared" si="94"/>
        <v>18239566.167899814</v>
      </c>
      <c r="K187" s="352">
        <f t="shared" si="94"/>
        <v>36514826.203055792</v>
      </c>
      <c r="L187" s="343">
        <f>SUM(B187:K187)</f>
        <v>72672713.733549953</v>
      </c>
      <c r="M187" s="353">
        <f>SUM(L177:L186)</f>
        <v>72672713.733549953</v>
      </c>
    </row>
    <row r="188" spans="1:13" s="6" customFormat="1" ht="19.899999999999999" customHeight="1" thickBot="1">
      <c r="A188" s="354" t="s">
        <v>1215</v>
      </c>
      <c r="B188" s="355">
        <f t="shared" ref="B188:K188" si="95">+B187/((1+$B$23)^B$176)</f>
        <v>34321.026207850016</v>
      </c>
      <c r="C188" s="355">
        <f t="shared" si="95"/>
        <v>99002.960214951963</v>
      </c>
      <c r="D188" s="355">
        <f t="shared" si="95"/>
        <v>222122.02612328966</v>
      </c>
      <c r="E188" s="355">
        <f t="shared" si="95"/>
        <v>457669.00986941543</v>
      </c>
      <c r="F188" s="355">
        <f t="shared" si="95"/>
        <v>909470.46833024861</v>
      </c>
      <c r="G188" s="355">
        <f t="shared" si="95"/>
        <v>1777191.0516378928</v>
      </c>
      <c r="H188" s="355">
        <f t="shared" si="95"/>
        <v>3444799.5048536686</v>
      </c>
      <c r="I188" s="355">
        <f t="shared" si="95"/>
        <v>6650695.5915936213</v>
      </c>
      <c r="J188" s="355">
        <f t="shared" si="95"/>
        <v>12814877.252278809</v>
      </c>
      <c r="K188" s="356">
        <f t="shared" si="95"/>
        <v>24668108.213685874</v>
      </c>
      <c r="L188" s="355">
        <f>SUM(B188:K188)</f>
        <v>51078257.10479562</v>
      </c>
      <c r="M188" s="336"/>
    </row>
    <row r="189" spans="1:13" s="6" customFormat="1" ht="19.899999999999999" customHeight="1">
      <c r="A189" s="357"/>
      <c r="B189" s="358"/>
      <c r="C189" s="358"/>
      <c r="D189" s="358"/>
      <c r="E189" s="358"/>
      <c r="F189" s="358"/>
      <c r="G189" s="358"/>
      <c r="H189" s="358"/>
      <c r="I189" s="358"/>
      <c r="J189" s="358"/>
      <c r="K189" s="358"/>
      <c r="L189" s="358"/>
    </row>
    <row r="190" spans="1:13" s="6" customFormat="1" ht="19.899999999999999" customHeight="1" thickBot="1">
      <c r="A190" s="297" t="s">
        <v>61</v>
      </c>
      <c r="B190" s="296">
        <f t="shared" ref="B190" si="96">C190*0.5</f>
        <v>1.549569110576923E-3</v>
      </c>
      <c r="C190" s="296">
        <f t="shared" ref="C190" si="97">D190*0.5</f>
        <v>3.0991382211538461E-3</v>
      </c>
      <c r="D190" s="296">
        <f t="shared" ref="D190" si="98">E190*0.5</f>
        <v>6.1982764423076922E-3</v>
      </c>
      <c r="E190" s="296">
        <f t="shared" ref="E190" si="99">F190*0.5</f>
        <v>1.2396552884615384E-2</v>
      </c>
      <c r="F190" s="296">
        <f t="shared" ref="F190" si="100">G190*0.5</f>
        <v>2.4793105769230769E-2</v>
      </c>
      <c r="G190" s="296">
        <f t="shared" ref="G190" si="101">H190*0.5</f>
        <v>4.9586211538461537E-2</v>
      </c>
      <c r="H190" s="296">
        <f t="shared" ref="H190" si="102">I190*0.5</f>
        <v>9.9172423076923075E-2</v>
      </c>
      <c r="I190" s="296">
        <f t="shared" ref="I190" si="103">J190*0.5</f>
        <v>0.19834484615384615</v>
      </c>
      <c r="J190" s="296">
        <f>K190*0.5</f>
        <v>0.3966896923076923</v>
      </c>
      <c r="K190" s="296">
        <f>D46*100</f>
        <v>0.7933793846153846</v>
      </c>
    </row>
    <row r="191" spans="1:13" s="6" customFormat="1" ht="19.899999999999999" customHeight="1">
      <c r="A191" s="338"/>
      <c r="B191" s="696" t="s">
        <v>56</v>
      </c>
      <c r="C191" s="697"/>
      <c r="D191" s="697"/>
      <c r="E191" s="697"/>
      <c r="F191" s="697"/>
      <c r="G191" s="697"/>
      <c r="H191" s="697"/>
      <c r="I191" s="697"/>
      <c r="J191" s="697"/>
      <c r="K191" s="698"/>
      <c r="L191" s="339"/>
      <c r="M191" s="5"/>
    </row>
    <row r="192" spans="1:13" s="6" customFormat="1" ht="19.899999999999999" customHeight="1">
      <c r="A192" s="340" t="s">
        <v>1688</v>
      </c>
      <c r="B192" s="293">
        <v>1</v>
      </c>
      <c r="C192" s="294">
        <v>2</v>
      </c>
      <c r="D192" s="294">
        <v>3</v>
      </c>
      <c r="E192" s="294">
        <v>4</v>
      </c>
      <c r="F192" s="294">
        <v>5</v>
      </c>
      <c r="G192" s="294">
        <v>6</v>
      </c>
      <c r="H192" s="294">
        <v>7</v>
      </c>
      <c r="I192" s="295">
        <v>8</v>
      </c>
      <c r="J192" s="295">
        <v>9</v>
      </c>
      <c r="K192" s="341">
        <v>10</v>
      </c>
      <c r="L192" s="342" t="s">
        <v>147</v>
      </c>
      <c r="M192" s="7"/>
    </row>
    <row r="193" spans="1:13" s="6" customFormat="1" ht="19.899999999999999" customHeight="1">
      <c r="A193" s="359" t="s">
        <v>38</v>
      </c>
      <c r="B193" s="343">
        <f>$B$46*$C$46*(B$190*$E$46)*(1-$F$46)</f>
        <v>36513.066764845287</v>
      </c>
      <c r="C193" s="343">
        <f>$B$46*$C$46*(C$190*$E$46)*(1-$F$46)</f>
        <v>73026.133529690575</v>
      </c>
      <c r="D193" s="343">
        <f>$B$46*$C$46*(D$190*$E$46)*(1-$F$46)</f>
        <v>146052.26705938115</v>
      </c>
      <c r="E193" s="343">
        <f t="shared" ref="E193:K193" si="104">$B$46*$C$46*(E$190*$E$46)*(1-$F$46)</f>
        <v>292104.5341187623</v>
      </c>
      <c r="F193" s="343">
        <f t="shared" si="104"/>
        <v>584209.0682375246</v>
      </c>
      <c r="G193" s="343">
        <f t="shared" si="104"/>
        <v>1168418.1364750492</v>
      </c>
      <c r="H193" s="343">
        <f t="shared" si="104"/>
        <v>2336836.2729500984</v>
      </c>
      <c r="I193" s="343">
        <f t="shared" si="104"/>
        <v>4673672.5459001968</v>
      </c>
      <c r="J193" s="343">
        <f t="shared" si="104"/>
        <v>9347345.0918003935</v>
      </c>
      <c r="K193" s="360">
        <f t="shared" si="104"/>
        <v>18694690.183600787</v>
      </c>
      <c r="L193" s="343">
        <f>SUM(B193:K193)</f>
        <v>37352867.300436735</v>
      </c>
    </row>
    <row r="194" spans="1:13" s="6" customFormat="1" ht="19.899999999999999" customHeight="1">
      <c r="A194" s="190" t="s">
        <v>39</v>
      </c>
      <c r="B194" s="191"/>
      <c r="C194" s="343">
        <f>B193</f>
        <v>36513.066764845287</v>
      </c>
      <c r="D194" s="343">
        <f t="shared" ref="D194" si="105">C193</f>
        <v>73026.133529690575</v>
      </c>
      <c r="E194" s="343">
        <f t="shared" ref="E194:E195" si="106">D193</f>
        <v>146052.26705938115</v>
      </c>
      <c r="F194" s="343">
        <f t="shared" ref="F194:F196" si="107">E193</f>
        <v>292104.5341187623</v>
      </c>
      <c r="G194" s="343">
        <f t="shared" ref="G194:G197" si="108">F193</f>
        <v>584209.0682375246</v>
      </c>
      <c r="H194" s="343">
        <f t="shared" ref="H194:H198" si="109">G193</f>
        <v>1168418.1364750492</v>
      </c>
      <c r="I194" s="343">
        <f t="shared" ref="I194:I199" si="110">H193</f>
        <v>2336836.2729500984</v>
      </c>
      <c r="J194" s="343">
        <f t="shared" ref="J194:J200" si="111">I193</f>
        <v>4673672.5459001968</v>
      </c>
      <c r="K194" s="344">
        <f t="shared" ref="K194:K200" si="112">J193</f>
        <v>9347345.0918003935</v>
      </c>
      <c r="L194" s="343">
        <f t="shared" ref="L194:L202" si="113">SUM(B194:K194)</f>
        <v>18658177.116835944</v>
      </c>
    </row>
    <row r="195" spans="1:13" s="6" customFormat="1" ht="19.899999999999999" customHeight="1">
      <c r="A195" s="190" t="s">
        <v>40</v>
      </c>
      <c r="B195" s="191"/>
      <c r="C195" s="343"/>
      <c r="D195" s="343">
        <f>C194</f>
        <v>36513.066764845287</v>
      </c>
      <c r="E195" s="343">
        <f t="shared" si="106"/>
        <v>73026.133529690575</v>
      </c>
      <c r="F195" s="343">
        <f t="shared" si="107"/>
        <v>146052.26705938115</v>
      </c>
      <c r="G195" s="343">
        <f t="shared" si="108"/>
        <v>292104.5341187623</v>
      </c>
      <c r="H195" s="343">
        <f t="shared" si="109"/>
        <v>584209.0682375246</v>
      </c>
      <c r="I195" s="343">
        <f t="shared" si="110"/>
        <v>1168418.1364750492</v>
      </c>
      <c r="J195" s="343">
        <f t="shared" si="111"/>
        <v>2336836.2729500984</v>
      </c>
      <c r="K195" s="344">
        <f t="shared" si="112"/>
        <v>4673672.5459001968</v>
      </c>
      <c r="L195" s="343">
        <f t="shared" si="113"/>
        <v>9310832.025035549</v>
      </c>
    </row>
    <row r="196" spans="1:13" s="6" customFormat="1" ht="19.899999999999999" customHeight="1">
      <c r="A196" s="190" t="s">
        <v>41</v>
      </c>
      <c r="B196" s="191"/>
      <c r="C196" s="343"/>
      <c r="D196" s="343"/>
      <c r="E196" s="343">
        <f>D195</f>
        <v>36513.066764845287</v>
      </c>
      <c r="F196" s="343">
        <f t="shared" si="107"/>
        <v>73026.133529690575</v>
      </c>
      <c r="G196" s="343">
        <f t="shared" si="108"/>
        <v>146052.26705938115</v>
      </c>
      <c r="H196" s="343">
        <f t="shared" si="109"/>
        <v>292104.5341187623</v>
      </c>
      <c r="I196" s="343">
        <f t="shared" si="110"/>
        <v>584209.0682375246</v>
      </c>
      <c r="J196" s="343">
        <f t="shared" si="111"/>
        <v>1168418.1364750492</v>
      </c>
      <c r="K196" s="344">
        <f t="shared" si="112"/>
        <v>2336836.2729500984</v>
      </c>
      <c r="L196" s="343">
        <f t="shared" si="113"/>
        <v>4637159.4791353513</v>
      </c>
    </row>
    <row r="197" spans="1:13" s="6" customFormat="1" ht="19.899999999999999" customHeight="1">
      <c r="A197" s="190" t="s">
        <v>42</v>
      </c>
      <c r="B197" s="191"/>
      <c r="C197" s="343"/>
      <c r="D197" s="343"/>
      <c r="E197" s="343"/>
      <c r="F197" s="343">
        <f>E196</f>
        <v>36513.066764845287</v>
      </c>
      <c r="G197" s="343">
        <f t="shared" si="108"/>
        <v>73026.133529690575</v>
      </c>
      <c r="H197" s="343">
        <f t="shared" si="109"/>
        <v>146052.26705938115</v>
      </c>
      <c r="I197" s="343">
        <f t="shared" si="110"/>
        <v>292104.5341187623</v>
      </c>
      <c r="J197" s="343">
        <f t="shared" si="111"/>
        <v>584209.0682375246</v>
      </c>
      <c r="K197" s="344">
        <f t="shared" si="112"/>
        <v>1168418.1364750492</v>
      </c>
      <c r="L197" s="343">
        <f t="shared" si="113"/>
        <v>2300323.2061852533</v>
      </c>
      <c r="M197" s="336"/>
    </row>
    <row r="198" spans="1:13" s="6" customFormat="1" ht="19.899999999999999" customHeight="1">
      <c r="A198" s="190" t="s">
        <v>43</v>
      </c>
      <c r="B198" s="191"/>
      <c r="C198" s="343"/>
      <c r="D198" s="343"/>
      <c r="E198" s="343"/>
      <c r="F198" s="343"/>
      <c r="G198" s="343">
        <f>F197</f>
        <v>36513.066764845287</v>
      </c>
      <c r="H198" s="343">
        <f t="shared" si="109"/>
        <v>73026.133529690575</v>
      </c>
      <c r="I198" s="343">
        <f t="shared" si="110"/>
        <v>146052.26705938115</v>
      </c>
      <c r="J198" s="343">
        <f t="shared" si="111"/>
        <v>292104.5341187623</v>
      </c>
      <c r="K198" s="344">
        <f t="shared" si="112"/>
        <v>584209.0682375246</v>
      </c>
      <c r="L198" s="343">
        <f t="shared" si="113"/>
        <v>1131905.0697102039</v>
      </c>
      <c r="M198" s="336"/>
    </row>
    <row r="199" spans="1:13" s="6" customFormat="1" ht="19.899999999999999" customHeight="1">
      <c r="A199" s="190" t="s">
        <v>44</v>
      </c>
      <c r="B199" s="191"/>
      <c r="C199" s="343"/>
      <c r="D199" s="343"/>
      <c r="E199" s="343"/>
      <c r="F199" s="343"/>
      <c r="G199" s="343"/>
      <c r="H199" s="343">
        <f>G198</f>
        <v>36513.066764845287</v>
      </c>
      <c r="I199" s="343">
        <f t="shared" si="110"/>
        <v>73026.133529690575</v>
      </c>
      <c r="J199" s="343">
        <f t="shared" si="111"/>
        <v>146052.26705938115</v>
      </c>
      <c r="K199" s="344">
        <f t="shared" si="112"/>
        <v>292104.5341187623</v>
      </c>
      <c r="L199" s="343">
        <f t="shared" si="113"/>
        <v>547696.00147267932</v>
      </c>
      <c r="M199" s="336"/>
    </row>
    <row r="200" spans="1:13" s="6" customFormat="1" ht="19.899999999999999" customHeight="1">
      <c r="A200" s="190" t="s">
        <v>45</v>
      </c>
      <c r="B200" s="191"/>
      <c r="C200" s="343"/>
      <c r="D200" s="343"/>
      <c r="E200" s="343"/>
      <c r="F200" s="343"/>
      <c r="G200" s="343"/>
      <c r="H200" s="343"/>
      <c r="I200" s="343">
        <f>H199</f>
        <v>36513.066764845287</v>
      </c>
      <c r="J200" s="343">
        <f t="shared" si="111"/>
        <v>73026.133529690575</v>
      </c>
      <c r="K200" s="344">
        <f t="shared" si="112"/>
        <v>146052.26705938115</v>
      </c>
      <c r="L200" s="343">
        <f t="shared" si="113"/>
        <v>255591.46735391702</v>
      </c>
      <c r="M200" s="336"/>
    </row>
    <row r="201" spans="1:13" s="6" customFormat="1" ht="19.899999999999999" customHeight="1">
      <c r="A201" s="190" t="s">
        <v>46</v>
      </c>
      <c r="B201" s="191"/>
      <c r="C201" s="343"/>
      <c r="D201" s="343"/>
      <c r="E201" s="343"/>
      <c r="F201" s="343"/>
      <c r="G201" s="343"/>
      <c r="H201" s="343"/>
      <c r="I201" s="343"/>
      <c r="J201" s="343">
        <f>I200</f>
        <v>36513.066764845287</v>
      </c>
      <c r="K201" s="344">
        <f>J200</f>
        <v>73026.133529690575</v>
      </c>
      <c r="L201" s="343">
        <f t="shared" si="113"/>
        <v>109539.20029453587</v>
      </c>
      <c r="M201" s="336"/>
    </row>
    <row r="202" spans="1:13" s="6" customFormat="1" ht="19.899999999999999" customHeight="1">
      <c r="A202" s="347" t="s">
        <v>47</v>
      </c>
      <c r="B202" s="348"/>
      <c r="C202" s="348"/>
      <c r="D202" s="348"/>
      <c r="E202" s="348"/>
      <c r="F202" s="348"/>
      <c r="G202" s="348"/>
      <c r="H202" s="348"/>
      <c r="I202" s="348"/>
      <c r="J202" s="348"/>
      <c r="K202" s="349">
        <f>J201</f>
        <v>36513.066764845287</v>
      </c>
      <c r="L202" s="350">
        <f t="shared" si="113"/>
        <v>36513.066764845287</v>
      </c>
      <c r="M202" s="336"/>
    </row>
    <row r="203" spans="1:13" s="6" customFormat="1" ht="19.899999999999999" customHeight="1">
      <c r="A203" s="340" t="s">
        <v>1228</v>
      </c>
      <c r="B203" s="351">
        <f>SUM(B193:B202)</f>
        <v>36513.066764845287</v>
      </c>
      <c r="C203" s="351">
        <f t="shared" ref="C203:K203" si="114">SUM(C193:C202)</f>
        <v>109539.20029453587</v>
      </c>
      <c r="D203" s="351">
        <f t="shared" si="114"/>
        <v>255591.46735391702</v>
      </c>
      <c r="E203" s="351">
        <f t="shared" si="114"/>
        <v>547696.00147267932</v>
      </c>
      <c r="F203" s="351">
        <f t="shared" si="114"/>
        <v>1131905.0697102039</v>
      </c>
      <c r="G203" s="351">
        <f t="shared" si="114"/>
        <v>2300323.2061852533</v>
      </c>
      <c r="H203" s="351">
        <f t="shared" si="114"/>
        <v>4637159.4791353522</v>
      </c>
      <c r="I203" s="351">
        <f t="shared" si="114"/>
        <v>9310832.025035549</v>
      </c>
      <c r="J203" s="351">
        <f t="shared" si="114"/>
        <v>18658177.116835944</v>
      </c>
      <c r="K203" s="352">
        <f t="shared" si="114"/>
        <v>37352867.300436735</v>
      </c>
      <c r="L203" s="343">
        <f>SUM(B203:K203)</f>
        <v>74340603.933225006</v>
      </c>
      <c r="M203" s="353">
        <f>SUM(L193:L202)</f>
        <v>74340603.933225021</v>
      </c>
    </row>
    <row r="204" spans="1:13" s="6" customFormat="1" ht="19.899999999999999" customHeight="1" thickBot="1">
      <c r="A204" s="354" t="s">
        <v>1215</v>
      </c>
      <c r="B204" s="355">
        <f t="shared" ref="B204:K204" si="115">+B203/((1+$B$23)^B$176)</f>
        <v>35108.718043120469</v>
      </c>
      <c r="C204" s="355">
        <f t="shared" si="115"/>
        <v>101275.14820130904</v>
      </c>
      <c r="D204" s="355">
        <f t="shared" si="115"/>
        <v>227219.88378498823</v>
      </c>
      <c r="E204" s="355">
        <f t="shared" si="115"/>
        <v>468172.83746906911</v>
      </c>
      <c r="F204" s="355">
        <f t="shared" si="115"/>
        <v>930343.45907315006</v>
      </c>
      <c r="G204" s="355">
        <f t="shared" si="115"/>
        <v>1817978.8437223467</v>
      </c>
      <c r="H204" s="355">
        <f t="shared" si="115"/>
        <v>3523860.0908537554</v>
      </c>
      <c r="I204" s="355">
        <f t="shared" si="115"/>
        <v>6803333.7611122606</v>
      </c>
      <c r="J204" s="355">
        <f t="shared" si="115"/>
        <v>13108987.752369402</v>
      </c>
      <c r="K204" s="356">
        <f t="shared" si="115"/>
        <v>25234258.751079895</v>
      </c>
      <c r="L204" s="355">
        <f>SUM(B204:K204)</f>
        <v>52250539.2457093</v>
      </c>
      <c r="M204" s="336"/>
    </row>
    <row r="205" spans="1:13" s="6" customFormat="1" ht="19.899999999999999" customHeight="1">
      <c r="A205" s="357"/>
      <c r="B205" s="358"/>
      <c r="C205" s="358"/>
      <c r="D205" s="358"/>
      <c r="E205" s="358"/>
      <c r="F205" s="358"/>
      <c r="G205" s="358"/>
      <c r="H205" s="358"/>
      <c r="I205" s="358"/>
      <c r="J205" s="358"/>
      <c r="K205" s="358"/>
      <c r="L205" s="358"/>
    </row>
    <row r="206" spans="1:13" s="6" customFormat="1" ht="19.899999999999999" customHeight="1">
      <c r="A206" s="287" t="s">
        <v>1218</v>
      </c>
      <c r="B206" s="336"/>
      <c r="C206" s="248"/>
      <c r="D206" s="336"/>
      <c r="E206" s="248"/>
      <c r="F206" s="358"/>
      <c r="M206" s="358"/>
    </row>
    <row r="207" spans="1:13" s="6" customFormat="1" ht="19.899999999999999" customHeight="1" thickBot="1">
      <c r="A207" s="9"/>
      <c r="B207" s="336"/>
      <c r="C207" s="248"/>
      <c r="D207" s="336"/>
      <c r="E207" s="248"/>
      <c r="F207" s="358"/>
      <c r="M207" s="361"/>
    </row>
    <row r="208" spans="1:13" s="6" customFormat="1" ht="19.899999999999999" customHeight="1">
      <c r="A208" s="362"/>
      <c r="B208" s="696" t="s">
        <v>56</v>
      </c>
      <c r="C208" s="697"/>
      <c r="D208" s="697"/>
      <c r="E208" s="697"/>
      <c r="F208" s="697"/>
      <c r="G208" s="697"/>
      <c r="H208" s="697"/>
      <c r="I208" s="697"/>
      <c r="J208" s="697"/>
      <c r="K208" s="698"/>
      <c r="L208" s="363"/>
    </row>
    <row r="209" spans="1:12" s="6" customFormat="1" ht="19.899999999999999" customHeight="1">
      <c r="A209" s="364" t="s">
        <v>1207</v>
      </c>
      <c r="B209" s="294">
        <v>1</v>
      </c>
      <c r="C209" s="294">
        <v>2</v>
      </c>
      <c r="D209" s="294">
        <v>3</v>
      </c>
      <c r="E209" s="294">
        <v>4</v>
      </c>
      <c r="F209" s="294">
        <v>5</v>
      </c>
      <c r="G209" s="294">
        <v>6</v>
      </c>
      <c r="H209" s="294">
        <v>7</v>
      </c>
      <c r="I209" s="294">
        <v>8</v>
      </c>
      <c r="J209" s="294">
        <v>9</v>
      </c>
      <c r="K209" s="294">
        <v>10</v>
      </c>
      <c r="L209" s="365" t="s">
        <v>53</v>
      </c>
    </row>
    <row r="210" spans="1:12" s="6" customFormat="1" ht="19.899999999999999" customHeight="1">
      <c r="A210" s="366" t="s">
        <v>1205</v>
      </c>
      <c r="B210" s="16"/>
      <c r="C210" s="16"/>
      <c r="D210" s="16"/>
      <c r="E210" s="16"/>
      <c r="F210" s="16"/>
      <c r="G210" s="16"/>
      <c r="H210" s="16"/>
      <c r="I210" s="16"/>
      <c r="J210" s="16"/>
      <c r="K210" s="16"/>
      <c r="L210" s="367"/>
    </row>
    <row r="211" spans="1:12" s="6" customFormat="1" ht="19.899999999999999" customHeight="1">
      <c r="A211" s="190" t="s">
        <v>1203</v>
      </c>
      <c r="B211" s="191">
        <v>0</v>
      </c>
      <c r="C211" s="191">
        <v>0</v>
      </c>
      <c r="D211" s="191">
        <v>0</v>
      </c>
      <c r="E211" s="191">
        <v>0</v>
      </c>
      <c r="F211" s="191">
        <v>0</v>
      </c>
      <c r="G211" s="191">
        <v>0</v>
      </c>
      <c r="H211" s="191">
        <v>0</v>
      </c>
      <c r="I211" s="191">
        <v>0</v>
      </c>
      <c r="J211" s="191">
        <v>0</v>
      </c>
      <c r="K211" s="191">
        <v>0</v>
      </c>
      <c r="L211" s="368">
        <f t="shared" ref="L211:L216" si="116">SUM(B211:K211)</f>
        <v>0</v>
      </c>
    </row>
    <row r="212" spans="1:12" s="6" customFormat="1" ht="19.899999999999999" customHeight="1">
      <c r="A212" s="192" t="s">
        <v>1204</v>
      </c>
      <c r="B212" s="193">
        <f>'Public and private costs'!B143</f>
        <v>408000</v>
      </c>
      <c r="C212" s="193">
        <f>'Public and private costs'!C143</f>
        <v>408000</v>
      </c>
      <c r="D212" s="193">
        <f>'Public and private costs'!D143</f>
        <v>408000</v>
      </c>
      <c r="E212" s="193">
        <f>'Public and private costs'!E143</f>
        <v>408000</v>
      </c>
      <c r="F212" s="193">
        <f>'Public and private costs'!F143</f>
        <v>408000</v>
      </c>
      <c r="G212" s="193">
        <f>'Public and private costs'!G143</f>
        <v>408000</v>
      </c>
      <c r="H212" s="193">
        <f>'Public and private costs'!H143</f>
        <v>408000</v>
      </c>
      <c r="I212" s="193">
        <f>'Public and private costs'!I143</f>
        <v>408000</v>
      </c>
      <c r="J212" s="193">
        <f>'Public and private costs'!J143</f>
        <v>408000</v>
      </c>
      <c r="K212" s="193">
        <f>'Public and private costs'!K143</f>
        <v>408000</v>
      </c>
      <c r="L212" s="369">
        <f t="shared" si="116"/>
        <v>4080000</v>
      </c>
    </row>
    <row r="213" spans="1:12" s="6" customFormat="1" ht="19.899999999999999" customHeight="1">
      <c r="A213" s="190" t="s">
        <v>1253</v>
      </c>
      <c r="B213" s="191">
        <f>'Public and private costs'!B144</f>
        <v>813134.01670579519</v>
      </c>
      <c r="C213" s="191">
        <f>'Public and private costs'!C144</f>
        <v>794134.01670579519</v>
      </c>
      <c r="D213" s="191">
        <f>'Public and private costs'!D144</f>
        <v>737316.01861325512</v>
      </c>
      <c r="E213" s="191">
        <f>'Public and private costs'!E144</f>
        <v>737316.01861325512</v>
      </c>
      <c r="F213" s="191">
        <f>'Public and private costs'!F144</f>
        <v>737316.01861325512</v>
      </c>
      <c r="G213" s="191">
        <f>'Public and private costs'!G144</f>
        <v>737316.01861325512</v>
      </c>
      <c r="H213" s="191">
        <f>'Public and private costs'!H144</f>
        <v>737316.01861325512</v>
      </c>
      <c r="I213" s="191">
        <f>'Public and private costs'!I144</f>
        <v>737316.01861325512</v>
      </c>
      <c r="J213" s="191">
        <f>'Public and private costs'!J144</f>
        <v>737316.01861325512</v>
      </c>
      <c r="K213" s="191">
        <f>'Public and private costs'!K144</f>
        <v>737316.01861325512</v>
      </c>
      <c r="L213" s="368">
        <f t="shared" si="116"/>
        <v>7505796.1823176295</v>
      </c>
    </row>
    <row r="214" spans="1:12" s="6" customFormat="1" ht="19.899999999999999" customHeight="1">
      <c r="A214" s="192" t="s">
        <v>1197</v>
      </c>
      <c r="B214" s="193">
        <f>'Public and private costs'!B145</f>
        <v>1835858.0781987461</v>
      </c>
      <c r="C214" s="193">
        <f>'Public and private costs'!C145</f>
        <v>1797358.0781987461</v>
      </c>
      <c r="D214" s="193">
        <f>'Public and private costs'!D145</f>
        <v>1559935.725973706</v>
      </c>
      <c r="E214" s="193">
        <f>'Public and private costs'!E145</f>
        <v>1559935.725973706</v>
      </c>
      <c r="F214" s="193">
        <f>'Public and private costs'!F145</f>
        <v>1559935.725973706</v>
      </c>
      <c r="G214" s="193">
        <f>'Public and private costs'!G145</f>
        <v>1559935.725973706</v>
      </c>
      <c r="H214" s="193">
        <f>'Public and private costs'!H145</f>
        <v>1559935.725973706</v>
      </c>
      <c r="I214" s="193">
        <f>'Public and private costs'!I145</f>
        <v>1559935.725973706</v>
      </c>
      <c r="J214" s="193">
        <f>'Public and private costs'!J145</f>
        <v>1559935.725973706</v>
      </c>
      <c r="K214" s="193">
        <f>'Public and private costs'!K145</f>
        <v>1559935.725973706</v>
      </c>
      <c r="L214" s="369">
        <f t="shared" si="116"/>
        <v>16112701.964187143</v>
      </c>
    </row>
    <row r="215" spans="1:12" s="6" customFormat="1" ht="19.899999999999999" customHeight="1">
      <c r="A215" s="190" t="s">
        <v>1593</v>
      </c>
      <c r="B215" s="191">
        <f>'Public and private costs'!B146</f>
        <v>1984506.9260519072</v>
      </c>
      <c r="C215" s="191">
        <f>'Public and private costs'!C146</f>
        <v>1917006.9260519072</v>
      </c>
      <c r="D215" s="191">
        <f>'Public and private costs'!D146</f>
        <v>1637254.330988188</v>
      </c>
      <c r="E215" s="191">
        <f>'Public and private costs'!E146</f>
        <v>1637254.330988188</v>
      </c>
      <c r="F215" s="191">
        <f>'Public and private costs'!F146</f>
        <v>1637254.330988188</v>
      </c>
      <c r="G215" s="191">
        <f>'Public and private costs'!G146</f>
        <v>1637254.330988188</v>
      </c>
      <c r="H215" s="191">
        <f>'Public and private costs'!H146</f>
        <v>1637254.330988188</v>
      </c>
      <c r="I215" s="191">
        <f>'Public and private costs'!I146</f>
        <v>1637254.330988188</v>
      </c>
      <c r="J215" s="191">
        <f>'Public and private costs'!J146</f>
        <v>1637254.330988188</v>
      </c>
      <c r="K215" s="191">
        <f>'Public and private costs'!K146</f>
        <v>1637254.330988188</v>
      </c>
      <c r="L215" s="368">
        <f t="shared" si="116"/>
        <v>16999548.500009317</v>
      </c>
    </row>
    <row r="216" spans="1:12" s="6" customFormat="1" ht="19.899999999999999" customHeight="1">
      <c r="A216" s="192" t="s">
        <v>1196</v>
      </c>
      <c r="B216" s="193">
        <f>'Public and private costs'!B147</f>
        <v>3312178.5842063371</v>
      </c>
      <c r="C216" s="193">
        <f>'Public and private costs'!C147</f>
        <v>3244678.5842063371</v>
      </c>
      <c r="D216" s="193">
        <f>'Public and private costs'!D147</f>
        <v>2768338.4413660653</v>
      </c>
      <c r="E216" s="193">
        <f>'Public and private costs'!E147</f>
        <v>2768338.4413660653</v>
      </c>
      <c r="F216" s="193">
        <f>'Public and private costs'!F147</f>
        <v>2768338.4413660653</v>
      </c>
      <c r="G216" s="193">
        <f>'Public and private costs'!G147</f>
        <v>2768338.4413660653</v>
      </c>
      <c r="H216" s="193">
        <f>'Public and private costs'!H147</f>
        <v>2768338.4413660653</v>
      </c>
      <c r="I216" s="193">
        <f>'Public and private costs'!I147</f>
        <v>2768338.4413660653</v>
      </c>
      <c r="J216" s="193">
        <f>'Public and private costs'!J147</f>
        <v>2768338.4413660653</v>
      </c>
      <c r="K216" s="193">
        <f>'Public and private costs'!K147</f>
        <v>2768338.4413660653</v>
      </c>
      <c r="L216" s="369">
        <f t="shared" si="116"/>
        <v>28703564.699341197</v>
      </c>
    </row>
    <row r="217" spans="1:12" s="6" customFormat="1" ht="19.899999999999999" customHeight="1">
      <c r="A217" s="190" t="s">
        <v>1195</v>
      </c>
      <c r="B217" s="191">
        <f>'Public and private costs'!B148</f>
        <v>5967395.8958662478</v>
      </c>
      <c r="C217" s="191">
        <f>'Public and private costs'!C148</f>
        <v>5803895.8958662478</v>
      </c>
      <c r="D217" s="191">
        <f>'Public and private costs'!D148</f>
        <v>4891896.7712859754</v>
      </c>
      <c r="E217" s="191">
        <f>'Public and private costs'!E148</f>
        <v>4891896.7712859754</v>
      </c>
      <c r="F217" s="191">
        <f>'Public and private costs'!F148</f>
        <v>4891896.7712859754</v>
      </c>
      <c r="G217" s="191">
        <f>'Public and private costs'!G148</f>
        <v>4891896.7712859754</v>
      </c>
      <c r="H217" s="191">
        <f>'Public and private costs'!H148</f>
        <v>4891896.7712859754</v>
      </c>
      <c r="I217" s="191">
        <f>'Public and private costs'!I148</f>
        <v>4891896.7712859754</v>
      </c>
      <c r="J217" s="191">
        <f>'Public and private costs'!J148</f>
        <v>4891896.7712859754</v>
      </c>
      <c r="K217" s="191">
        <f>'Public and private costs'!K148</f>
        <v>4891896.7712859754</v>
      </c>
      <c r="L217" s="368">
        <f t="shared" ref="L217" si="117">SUM(B217:K217)</f>
        <v>50906465.962020285</v>
      </c>
    </row>
    <row r="218" spans="1:12" ht="19.899999999999999" customHeight="1">
      <c r="A218" s="192" t="s">
        <v>1199</v>
      </c>
      <c r="B218" s="193">
        <f>'Public and private costs'!B149</f>
        <v>9858069.1252470184</v>
      </c>
      <c r="C218" s="193">
        <f>'Public and private costs'!C149</f>
        <v>9677069.1252470184</v>
      </c>
      <c r="D218" s="193">
        <f>'Public and private costs'!D149</f>
        <v>8136181.821641746</v>
      </c>
      <c r="E218" s="193">
        <f>'Public and private costs'!E149</f>
        <v>8136181.821641746</v>
      </c>
      <c r="F218" s="193">
        <f>'Public and private costs'!F149</f>
        <v>8136181.821641746</v>
      </c>
      <c r="G218" s="193">
        <f>'Public and private costs'!G149</f>
        <v>8136181.821641746</v>
      </c>
      <c r="H218" s="193">
        <f>'Public and private costs'!H149</f>
        <v>8136181.821641746</v>
      </c>
      <c r="I218" s="193">
        <f>'Public and private costs'!I149</f>
        <v>8136181.821641746</v>
      </c>
      <c r="J218" s="193">
        <f>'Public and private costs'!J149</f>
        <v>8136181.821641746</v>
      </c>
      <c r="K218" s="193">
        <f>'Public and private costs'!K149</f>
        <v>8136181.821641746</v>
      </c>
      <c r="L218" s="369">
        <f>SUM(B218:K218)</f>
        <v>84624592.823627993</v>
      </c>
    </row>
    <row r="219" spans="1:12" ht="19.899999999999999" customHeight="1" thickBot="1">
      <c r="A219" s="588" t="s">
        <v>1688</v>
      </c>
      <c r="B219" s="355">
        <f>'Public and private costs'!B150</f>
        <v>1281225.8377707975</v>
      </c>
      <c r="C219" s="355">
        <f>'Public and private costs'!C150</f>
        <v>1200225.8377707975</v>
      </c>
      <c r="D219" s="355">
        <f>'Public and private costs'!D150</f>
        <v>1119225.8377707975</v>
      </c>
      <c r="E219" s="355">
        <f>'Public and private costs'!E150</f>
        <v>1119225.8377707975</v>
      </c>
      <c r="F219" s="355">
        <f>'Public and private costs'!F150</f>
        <v>1119225.8377707975</v>
      </c>
      <c r="G219" s="355">
        <f>'Public and private costs'!G150</f>
        <v>1119225.8377707975</v>
      </c>
      <c r="H219" s="355">
        <f>'Public and private costs'!H150</f>
        <v>1119225.8377707975</v>
      </c>
      <c r="I219" s="355">
        <f>'Public and private costs'!I150</f>
        <v>1119225.8377707975</v>
      </c>
      <c r="J219" s="355">
        <f>'Public and private costs'!J150</f>
        <v>1119225.8377707975</v>
      </c>
      <c r="K219" s="355">
        <f>'Public and private costs'!K150</f>
        <v>1119225.8377707975</v>
      </c>
      <c r="L219" s="601">
        <f>SUM(B219:K219)</f>
        <v>11435258.377707975</v>
      </c>
    </row>
    <row r="220" spans="1:12" ht="19.899999999999999" customHeight="1">
      <c r="A220" s="229"/>
      <c r="B220" s="229"/>
      <c r="C220" s="229"/>
      <c r="D220" s="229"/>
      <c r="E220" s="229"/>
      <c r="F220" s="229"/>
      <c r="G220" s="229"/>
      <c r="H220" s="229"/>
      <c r="I220" s="229"/>
      <c r="J220" s="229"/>
      <c r="K220" s="229"/>
      <c r="L220" s="175"/>
    </row>
    <row r="221" spans="1:12" s="6" customFormat="1" ht="19.899999999999999" customHeight="1">
      <c r="A221" s="138" t="s">
        <v>1206</v>
      </c>
      <c r="B221" s="313"/>
      <c r="C221" s="313"/>
      <c r="D221" s="313"/>
      <c r="E221" s="313"/>
      <c r="F221" s="313"/>
      <c r="G221" s="313"/>
      <c r="H221" s="313"/>
      <c r="I221" s="313"/>
      <c r="J221" s="313"/>
      <c r="K221" s="313"/>
      <c r="L221" s="370"/>
    </row>
    <row r="222" spans="1:12" s="6" customFormat="1" ht="19.899999999999999" customHeight="1">
      <c r="A222" s="190" t="s">
        <v>1203</v>
      </c>
      <c r="B222" s="191">
        <f t="shared" ref="B222:K222" si="118">+B211/((1+$B$23)^B$209)</f>
        <v>0</v>
      </c>
      <c r="C222" s="191">
        <f t="shared" si="118"/>
        <v>0</v>
      </c>
      <c r="D222" s="191">
        <f t="shared" si="118"/>
        <v>0</v>
      </c>
      <c r="E222" s="191">
        <f t="shared" si="118"/>
        <v>0</v>
      </c>
      <c r="F222" s="191">
        <f t="shared" si="118"/>
        <v>0</v>
      </c>
      <c r="G222" s="191">
        <f t="shared" si="118"/>
        <v>0</v>
      </c>
      <c r="H222" s="191">
        <f t="shared" si="118"/>
        <v>0</v>
      </c>
      <c r="I222" s="191">
        <f t="shared" si="118"/>
        <v>0</v>
      </c>
      <c r="J222" s="191">
        <f t="shared" si="118"/>
        <v>0</v>
      </c>
      <c r="K222" s="191">
        <f t="shared" si="118"/>
        <v>0</v>
      </c>
      <c r="L222" s="368">
        <f t="shared" ref="L222:L227" si="119">SUM(B222:K222)</f>
        <v>0</v>
      </c>
    </row>
    <row r="223" spans="1:12" s="6" customFormat="1" ht="19.899999999999999" customHeight="1">
      <c r="A223" s="192" t="s">
        <v>1204</v>
      </c>
      <c r="B223" s="193">
        <f t="shared" ref="B223:K223" si="120">+B212/((1+$B$23)^B$209)</f>
        <v>392307.69230769231</v>
      </c>
      <c r="C223" s="193">
        <f t="shared" si="120"/>
        <v>377218.93491124257</v>
      </c>
      <c r="D223" s="193">
        <f t="shared" si="120"/>
        <v>362710.51433773327</v>
      </c>
      <c r="E223" s="193">
        <f t="shared" si="120"/>
        <v>348760.10994012811</v>
      </c>
      <c r="F223" s="193">
        <f t="shared" si="120"/>
        <v>335346.25955781544</v>
      </c>
      <c r="G223" s="193">
        <f t="shared" si="120"/>
        <v>322448.32649789943</v>
      </c>
      <c r="H223" s="193">
        <f t="shared" si="120"/>
        <v>310046.46778644179</v>
      </c>
      <c r="I223" s="193">
        <f t="shared" si="120"/>
        <v>298121.60364080936</v>
      </c>
      <c r="J223" s="193">
        <f t="shared" si="120"/>
        <v>286655.38811616285</v>
      </c>
      <c r="K223" s="193">
        <f t="shared" si="120"/>
        <v>275630.18088092579</v>
      </c>
      <c r="L223" s="369">
        <f>SUM(B223:K223)</f>
        <v>3309245.4779768502</v>
      </c>
    </row>
    <row r="224" spans="1:12" s="6" customFormat="1" ht="19.899999999999999" customHeight="1">
      <c r="A224" s="190" t="s">
        <v>1253</v>
      </c>
      <c r="B224" s="191">
        <f t="shared" ref="B224:K224" si="121">+B213/((1+$B$23)^B$209)</f>
        <v>781859.63144787995</v>
      </c>
      <c r="C224" s="191">
        <f t="shared" si="121"/>
        <v>734221.53911408572</v>
      </c>
      <c r="D224" s="191">
        <f t="shared" si="121"/>
        <v>655471.25573692028</v>
      </c>
      <c r="E224" s="191">
        <f t="shared" si="121"/>
        <v>630260.82282396173</v>
      </c>
      <c r="F224" s="191">
        <f t="shared" si="121"/>
        <v>606020.02194611693</v>
      </c>
      <c r="G224" s="191">
        <f t="shared" si="121"/>
        <v>582711.55956357403</v>
      </c>
      <c r="H224" s="191">
        <f t="shared" si="121"/>
        <v>560299.57650343655</v>
      </c>
      <c r="I224" s="191">
        <f t="shared" si="121"/>
        <v>538749.59279176581</v>
      </c>
      <c r="J224" s="191">
        <f t="shared" si="121"/>
        <v>518028.45460746711</v>
      </c>
      <c r="K224" s="191">
        <f t="shared" si="121"/>
        <v>498104.28327641072</v>
      </c>
      <c r="L224" s="368">
        <f t="shared" si="119"/>
        <v>6105726.7378116185</v>
      </c>
    </row>
    <row r="225" spans="1:13" s="6" customFormat="1" ht="19.899999999999999" customHeight="1">
      <c r="A225" s="192" t="s">
        <v>1197</v>
      </c>
      <c r="B225" s="193">
        <f t="shared" ref="B225:K225" si="122">+B214/((1+$B$23)^B$209)</f>
        <v>1765248.1521141788</v>
      </c>
      <c r="C225" s="193">
        <f t="shared" si="122"/>
        <v>1661758.5782162962</v>
      </c>
      <c r="D225" s="193">
        <f t="shared" si="122"/>
        <v>1386777.1801512947</v>
      </c>
      <c r="E225" s="193">
        <f t="shared" si="122"/>
        <v>1333439.5962993216</v>
      </c>
      <c r="F225" s="193">
        <f t="shared" si="122"/>
        <v>1282153.4579801168</v>
      </c>
      <c r="G225" s="193">
        <f t="shared" si="122"/>
        <v>1232839.86344242</v>
      </c>
      <c r="H225" s="193">
        <f t="shared" si="122"/>
        <v>1185422.9456177116</v>
      </c>
      <c r="I225" s="193">
        <f t="shared" si="122"/>
        <v>1139829.7554016456</v>
      </c>
      <c r="J225" s="193">
        <f t="shared" si="122"/>
        <v>1095990.1494246591</v>
      </c>
      <c r="K225" s="193">
        <f t="shared" si="122"/>
        <v>1053836.6821390954</v>
      </c>
      <c r="L225" s="369">
        <f>SUM(B225:K225)</f>
        <v>13137296.360786738</v>
      </c>
    </row>
    <row r="226" spans="1:13" s="6" customFormat="1" ht="19.899999999999999" customHeight="1">
      <c r="A226" s="190" t="s">
        <v>1593</v>
      </c>
      <c r="B226" s="191">
        <f t="shared" ref="B226:K226" si="123">+B215/((1+$B$23)^B$209)</f>
        <v>1908179.7365883724</v>
      </c>
      <c r="C226" s="191">
        <f t="shared" si="123"/>
        <v>1772380.6638793519</v>
      </c>
      <c r="D226" s="191">
        <f t="shared" si="123"/>
        <v>1455513.1384666839</v>
      </c>
      <c r="E226" s="191">
        <f t="shared" si="123"/>
        <v>1399531.8639102727</v>
      </c>
      <c r="F226" s="191">
        <f t="shared" si="123"/>
        <v>1345703.715298339</v>
      </c>
      <c r="G226" s="191">
        <f t="shared" si="123"/>
        <v>1293945.8800945568</v>
      </c>
      <c r="H226" s="191">
        <f t="shared" si="123"/>
        <v>1244178.7308601509</v>
      </c>
      <c r="I226" s="191">
        <f t="shared" si="123"/>
        <v>1196325.702750145</v>
      </c>
      <c r="J226" s="191">
        <f t="shared" si="123"/>
        <v>1150313.1757212931</v>
      </c>
      <c r="K226" s="191">
        <f t="shared" si="123"/>
        <v>1106070.361270474</v>
      </c>
      <c r="L226" s="368">
        <f>SUM(B226:K226)</f>
        <v>13872142.96883964</v>
      </c>
    </row>
    <row r="227" spans="1:13" s="6" customFormat="1" ht="19.899999999999999" customHeight="1">
      <c r="A227" s="192" t="s">
        <v>1196</v>
      </c>
      <c r="B227" s="193">
        <f t="shared" ref="B227:K227" si="124">+B216/((1+$B$23)^B$209)</f>
        <v>3184787.1001984011</v>
      </c>
      <c r="C227" s="193">
        <f t="shared" si="124"/>
        <v>2999887.7442736099</v>
      </c>
      <c r="D227" s="193">
        <f t="shared" si="124"/>
        <v>2461042.7939431476</v>
      </c>
      <c r="E227" s="193">
        <f t="shared" si="124"/>
        <v>2366387.3018684112</v>
      </c>
      <c r="F227" s="193">
        <f t="shared" si="124"/>
        <v>2275372.4056427027</v>
      </c>
      <c r="G227" s="193">
        <f t="shared" si="124"/>
        <v>2187858.0823487528</v>
      </c>
      <c r="H227" s="193">
        <f t="shared" si="124"/>
        <v>2103709.6945661088</v>
      </c>
      <c r="I227" s="193">
        <f t="shared" si="124"/>
        <v>2022797.7832366426</v>
      </c>
      <c r="J227" s="193">
        <f t="shared" si="124"/>
        <v>1944997.8684967714</v>
      </c>
      <c r="K227" s="193">
        <f t="shared" si="124"/>
        <v>1870190.2581699726</v>
      </c>
      <c r="L227" s="369">
        <f t="shared" si="119"/>
        <v>23417031.032744519</v>
      </c>
    </row>
    <row r="228" spans="1:13" ht="19.899999999999999" customHeight="1">
      <c r="A228" s="190" t="s">
        <v>1195</v>
      </c>
      <c r="B228" s="191">
        <f t="shared" ref="B228:K228" si="125">+B217/((1+$B$23)^B$209)</f>
        <v>5737880.6691021612</v>
      </c>
      <c r="C228" s="191">
        <f t="shared" si="125"/>
        <v>5366028.0102313673</v>
      </c>
      <c r="D228" s="191">
        <f t="shared" si="125"/>
        <v>4348878.4166672369</v>
      </c>
      <c r="E228" s="191">
        <f t="shared" si="125"/>
        <v>4181613.8621800351</v>
      </c>
      <c r="F228" s="191">
        <f t="shared" si="125"/>
        <v>4020782.5597884948</v>
      </c>
      <c r="G228" s="191">
        <f t="shared" si="125"/>
        <v>3866137.0767197069</v>
      </c>
      <c r="H228" s="191">
        <f t="shared" si="125"/>
        <v>3717439.4968458721</v>
      </c>
      <c r="I228" s="191">
        <f t="shared" si="125"/>
        <v>3574461.0546594919</v>
      </c>
      <c r="J228" s="191">
        <f t="shared" si="125"/>
        <v>3436981.783326434</v>
      </c>
      <c r="K228" s="191">
        <f t="shared" si="125"/>
        <v>3304790.1762754177</v>
      </c>
      <c r="L228" s="368">
        <f>SUM(B228:K228)</f>
        <v>41554993.105796218</v>
      </c>
    </row>
    <row r="229" spans="1:13" s="6" customFormat="1" ht="19.899999999999999" customHeight="1">
      <c r="A229" s="192" t="s">
        <v>1199</v>
      </c>
      <c r="B229" s="193">
        <f t="shared" ref="B229:K229" si="126">+B218/((1+$B$23)^B$209)</f>
        <v>9478912.620429825</v>
      </c>
      <c r="C229" s="193">
        <f t="shared" si="126"/>
        <v>8946994.3835493866</v>
      </c>
      <c r="D229" s="193">
        <f t="shared" si="126"/>
        <v>7233036.0129240025</v>
      </c>
      <c r="E229" s="193">
        <f t="shared" si="126"/>
        <v>6954842.3201192329</v>
      </c>
      <c r="F229" s="193">
        <f t="shared" si="126"/>
        <v>6687348.3847300308</v>
      </c>
      <c r="G229" s="193">
        <f t="shared" si="126"/>
        <v>6430142.6776250293</v>
      </c>
      <c r="H229" s="193">
        <f t="shared" si="126"/>
        <v>6182829.4977163747</v>
      </c>
      <c r="I229" s="193">
        <f t="shared" si="126"/>
        <v>5945028.3631888209</v>
      </c>
      <c r="J229" s="193">
        <f t="shared" si="126"/>
        <v>5716373.4261430968</v>
      </c>
      <c r="K229" s="193">
        <f t="shared" si="126"/>
        <v>5496512.909752978</v>
      </c>
      <c r="L229" s="369">
        <f>SUM(B229:K229)</f>
        <v>69072020.59617877</v>
      </c>
      <c r="M229" s="358"/>
    </row>
    <row r="230" spans="1:13" s="6" customFormat="1" ht="19.899999999999999" customHeight="1" thickBot="1">
      <c r="A230" s="588" t="s">
        <v>1688</v>
      </c>
      <c r="B230" s="355">
        <f t="shared" ref="B230:K230" si="127">+B219/((1+$B$23)^B$209)</f>
        <v>1231947.9209334592</v>
      </c>
      <c r="C230" s="355">
        <f t="shared" si="127"/>
        <v>1109676.2553354267</v>
      </c>
      <c r="D230" s="355">
        <f t="shared" si="127"/>
        <v>994987.694308643</v>
      </c>
      <c r="E230" s="355">
        <f t="shared" si="127"/>
        <v>956718.93683523359</v>
      </c>
      <c r="F230" s="355">
        <f t="shared" si="127"/>
        <v>919922.05464926304</v>
      </c>
      <c r="G230" s="355">
        <f t="shared" si="127"/>
        <v>884540.43716275285</v>
      </c>
      <c r="H230" s="355">
        <f t="shared" si="127"/>
        <v>850519.6511180317</v>
      </c>
      <c r="I230" s="355">
        <f t="shared" si="127"/>
        <v>817807.35684426106</v>
      </c>
      <c r="J230" s="355">
        <f t="shared" si="127"/>
        <v>786353.22773486632</v>
      </c>
      <c r="K230" s="355">
        <f t="shared" si="127"/>
        <v>756108.87282198691</v>
      </c>
      <c r="L230" s="601">
        <f>SUM(B230:K230)</f>
        <v>9308582.4077439234</v>
      </c>
      <c r="M230" s="358"/>
    </row>
    <row r="231" spans="1:13" s="6" customFormat="1" ht="19.899999999999999" customHeight="1">
      <c r="A231" s="187"/>
      <c r="B231" s="336"/>
      <c r="C231" s="336"/>
      <c r="D231" s="336"/>
      <c r="E231" s="336"/>
      <c r="F231" s="336"/>
      <c r="G231" s="336"/>
      <c r="H231" s="336"/>
      <c r="I231" s="336"/>
      <c r="J231" s="336"/>
      <c r="K231" s="336"/>
      <c r="L231" s="336"/>
      <c r="M231" s="361"/>
    </row>
    <row r="232" spans="1:13" s="6" customFormat="1" ht="19.899999999999999" customHeight="1"/>
    <row r="233" spans="1:13" s="6" customFormat="1" ht="19.899999999999999" customHeight="1">
      <c r="A233" s="287" t="s">
        <v>1231</v>
      </c>
      <c r="B233" s="287"/>
      <c r="C233" s="287"/>
      <c r="D233" s="287"/>
      <c r="E233" s="287"/>
      <c r="F233" s="13"/>
      <c r="G233" s="13"/>
      <c r="H233" s="13"/>
      <c r="I233" s="13"/>
      <c r="J233" s="13"/>
      <c r="K233" s="13"/>
      <c r="L233" s="13"/>
      <c r="M233" s="13"/>
    </row>
    <row r="234" spans="1:13" s="6" customFormat="1" ht="19.899999999999999" customHeight="1">
      <c r="A234" s="316" t="s">
        <v>1232</v>
      </c>
      <c r="B234" s="287"/>
      <c r="C234" s="287"/>
      <c r="D234" s="287"/>
      <c r="E234" s="287"/>
      <c r="F234" s="13"/>
      <c r="G234" s="13"/>
      <c r="H234" s="13"/>
      <c r="I234" s="13"/>
      <c r="J234" s="13"/>
      <c r="K234" s="13"/>
      <c r="L234" s="13"/>
      <c r="M234" s="13"/>
    </row>
    <row r="235" spans="1:13" s="13" customFormat="1" ht="19.899999999999999" customHeight="1">
      <c r="A235" s="316" t="s">
        <v>1233</v>
      </c>
      <c r="B235" s="287"/>
      <c r="C235" s="287"/>
      <c r="D235" s="287"/>
      <c r="E235" s="287"/>
    </row>
    <row r="236" spans="1:13" s="13" customFormat="1" ht="19.899999999999999" customHeight="1">
      <c r="A236" s="316" t="s">
        <v>1234</v>
      </c>
      <c r="B236" s="287"/>
      <c r="C236" s="287"/>
      <c r="D236" s="287"/>
      <c r="E236" s="287"/>
    </row>
    <row r="237" spans="1:13" s="13" customFormat="1" ht="19.899999999999999" customHeight="1" thickBot="1">
      <c r="B237" s="287"/>
      <c r="C237" s="287"/>
      <c r="D237" s="287"/>
      <c r="E237" s="287"/>
      <c r="F237" s="287"/>
    </row>
    <row r="238" spans="1:13" s="13" customFormat="1" ht="34.5" customHeight="1">
      <c r="A238" s="260"/>
      <c r="B238" s="261" t="s">
        <v>1214</v>
      </c>
      <c r="C238" s="262" t="s">
        <v>1221</v>
      </c>
      <c r="D238" s="263" t="s">
        <v>18</v>
      </c>
      <c r="E238" s="264" t="s">
        <v>5</v>
      </c>
      <c r="F238" s="694" t="s">
        <v>1235</v>
      </c>
    </row>
    <row r="239" spans="1:13" s="13" customFormat="1" ht="15.75" customHeight="1">
      <c r="A239" s="265" t="s">
        <v>1207</v>
      </c>
      <c r="B239" s="266" t="s">
        <v>1230</v>
      </c>
      <c r="C239" s="267" t="s">
        <v>1230</v>
      </c>
      <c r="D239" s="267" t="s">
        <v>1230</v>
      </c>
      <c r="E239" s="268" t="s">
        <v>1230</v>
      </c>
      <c r="F239" s="695"/>
    </row>
    <row r="240" spans="1:13" s="13" customFormat="1" ht="19.899999999999999" customHeight="1">
      <c r="A240" s="190" t="s">
        <v>1203</v>
      </c>
      <c r="B240" s="269">
        <f>(L67*-1)/1000000</f>
        <v>-92.233023290268576</v>
      </c>
      <c r="C240" s="270"/>
      <c r="D240" s="271"/>
      <c r="E240" s="272"/>
      <c r="F240" s="273"/>
    </row>
    <row r="241" spans="1:6" s="13" customFormat="1" ht="19.5" customHeight="1">
      <c r="A241" s="274" t="s">
        <v>1219</v>
      </c>
      <c r="B241" s="275">
        <f>(L92*-1)/1000000</f>
        <v>-82.989841042046905</v>
      </c>
      <c r="C241" s="602">
        <f t="shared" ref="C241:C246" si="128">($B$240-B241)*-1</f>
        <v>9.2431822482216717</v>
      </c>
      <c r="D241" s="602">
        <f t="shared" ref="D241:D247" si="129">L223/1000000</f>
        <v>3.3092454779768503</v>
      </c>
      <c r="E241" s="603">
        <f t="shared" ref="E241:E247" si="130">C241-D241</f>
        <v>5.9339367702448218</v>
      </c>
      <c r="F241" s="604">
        <f t="shared" ref="F241:F247" si="131">C241/D241</f>
        <v>2.7931388921539329</v>
      </c>
    </row>
    <row r="242" spans="1:6" s="13" customFormat="1" ht="19.5" customHeight="1">
      <c r="A242" s="371" t="s">
        <v>1253</v>
      </c>
      <c r="B242" s="269">
        <f>(L107*-1)/1000000</f>
        <v>-66.339831409868864</v>
      </c>
      <c r="C242" s="605">
        <f t="shared" si="128"/>
        <v>25.893191880399712</v>
      </c>
      <c r="D242" s="605">
        <f t="shared" si="129"/>
        <v>6.1057267378116187</v>
      </c>
      <c r="E242" s="606">
        <f t="shared" si="130"/>
        <v>19.787465142588093</v>
      </c>
      <c r="F242" s="607">
        <f t="shared" si="131"/>
        <v>4.2408042469454195</v>
      </c>
    </row>
    <row r="243" spans="1:6" s="13" customFormat="1" ht="19.5" customHeight="1">
      <c r="A243" s="192" t="s">
        <v>1197</v>
      </c>
      <c r="B243" s="275">
        <f>(L124*-1)/1000000</f>
        <v>-27.905006465704716</v>
      </c>
      <c r="C243" s="602">
        <f t="shared" si="128"/>
        <v>64.328016824563861</v>
      </c>
      <c r="D243" s="602">
        <f t="shared" si="129"/>
        <v>13.137296360786738</v>
      </c>
      <c r="E243" s="603">
        <f t="shared" si="130"/>
        <v>51.190720463777126</v>
      </c>
      <c r="F243" s="604">
        <f t="shared" si="131"/>
        <v>4.8965947831226</v>
      </c>
    </row>
    <row r="244" spans="1:6" s="13" customFormat="1" ht="19.5" customHeight="1">
      <c r="A244" s="190" t="s">
        <v>1593</v>
      </c>
      <c r="B244" s="269">
        <f>(L140*-1)/1000000</f>
        <v>-22.26661275646762</v>
      </c>
      <c r="C244" s="605">
        <f t="shared" si="128"/>
        <v>69.966410533800953</v>
      </c>
      <c r="D244" s="605">
        <f t="shared" si="129"/>
        <v>13.87214296883964</v>
      </c>
      <c r="E244" s="606">
        <f t="shared" ref="E244" si="132">C244-D244</f>
        <v>56.094267564961314</v>
      </c>
      <c r="F244" s="607">
        <f t="shared" ref="F244" si="133">C244/D244</f>
        <v>5.043662734082492</v>
      </c>
    </row>
    <row r="245" spans="1:6" s="13" customFormat="1" ht="19.5" customHeight="1">
      <c r="A245" s="192" t="s">
        <v>1196</v>
      </c>
      <c r="B245" s="275">
        <f>(L156*-1)/1000000</f>
        <v>-25.039649872083096</v>
      </c>
      <c r="C245" s="602">
        <f t="shared" si="128"/>
        <v>67.193373418185473</v>
      </c>
      <c r="D245" s="602">
        <f t="shared" si="129"/>
        <v>23.417031032744518</v>
      </c>
      <c r="E245" s="603">
        <f t="shared" si="130"/>
        <v>43.776342385440955</v>
      </c>
      <c r="F245" s="604">
        <f t="shared" si="131"/>
        <v>2.8694232554172898</v>
      </c>
    </row>
    <row r="246" spans="1:6" s="13" customFormat="1" ht="19.5" customHeight="1">
      <c r="A246" s="190" t="s">
        <v>1195</v>
      </c>
      <c r="B246" s="269">
        <f>(L172*-1)/1000000</f>
        <v>-39.888086615795928</v>
      </c>
      <c r="C246" s="605">
        <f t="shared" si="128"/>
        <v>52.344936674472649</v>
      </c>
      <c r="D246" s="605">
        <f t="shared" si="129"/>
        <v>41.554993105796221</v>
      </c>
      <c r="E246" s="606">
        <f t="shared" si="130"/>
        <v>10.789943568676428</v>
      </c>
      <c r="F246" s="607">
        <f t="shared" si="131"/>
        <v>1.259654562839319</v>
      </c>
    </row>
    <row r="247" spans="1:6" s="13" customFormat="1" ht="19.5" customHeight="1">
      <c r="A247" s="192" t="s">
        <v>1199</v>
      </c>
      <c r="B247" s="275">
        <f>(L188*-1)/1000000</f>
        <v>-51.078257104795618</v>
      </c>
      <c r="C247" s="602">
        <f t="shared" ref="C247" si="134">($B$240-B247)*-1</f>
        <v>41.154766185472958</v>
      </c>
      <c r="D247" s="602">
        <f t="shared" si="129"/>
        <v>69.072020596178774</v>
      </c>
      <c r="E247" s="603">
        <f t="shared" si="130"/>
        <v>-27.917254410705816</v>
      </c>
      <c r="F247" s="604">
        <f t="shared" si="131"/>
        <v>0.59582397952536137</v>
      </c>
    </row>
    <row r="248" spans="1:6" ht="19.899999999999999" customHeight="1" thickBot="1">
      <c r="A248" s="588" t="s">
        <v>1688</v>
      </c>
      <c r="B248" s="600">
        <f>(L204*-1)/1000000</f>
        <v>-52.250539245709298</v>
      </c>
      <c r="C248" s="608">
        <f>($B$240-B248)*-1</f>
        <v>39.982484044559278</v>
      </c>
      <c r="D248" s="608">
        <f>L230/1000000</f>
        <v>9.3085824077439234</v>
      </c>
      <c r="E248" s="609">
        <f t="shared" ref="E248" si="135">C248-D248</f>
        <v>30.673901636815355</v>
      </c>
      <c r="F248" s="610">
        <f>C248/D248</f>
        <v>4.2952280264820306</v>
      </c>
    </row>
    <row r="251" spans="1:6" s="13" customFormat="1" ht="19.5" customHeight="1">
      <c r="A251" s="187"/>
      <c r="B251" s="313"/>
      <c r="C251" s="313"/>
      <c r="D251" s="372"/>
      <c r="E251" s="313"/>
      <c r="F251" s="6"/>
    </row>
    <row r="252" spans="1:6" s="13" customFormat="1" ht="19.5" customHeight="1">
      <c r="A252" s="187"/>
      <c r="B252" s="313"/>
      <c r="C252" s="313"/>
      <c r="D252" s="372"/>
      <c r="E252" s="313"/>
      <c r="F252" s="6"/>
    </row>
    <row r="253" spans="1:6" s="13" customFormat="1" ht="19.899999999999999" customHeight="1">
      <c r="A253" s="289"/>
      <c r="B253" s="6"/>
    </row>
    <row r="254" spans="1:6" s="13" customFormat="1" ht="19.899999999999999" customHeight="1">
      <c r="A254" s="6"/>
      <c r="B254" s="6"/>
    </row>
    <row r="255" spans="1:6" s="13" customFormat="1" ht="19.899999999999999" customHeight="1">
      <c r="A255" s="6"/>
      <c r="B255" s="6"/>
    </row>
    <row r="256" spans="1:6" s="13" customFormat="1" ht="19.899999999999999" customHeight="1">
      <c r="A256" s="6"/>
      <c r="B256" s="6"/>
    </row>
    <row r="257" spans="1:13" s="13" customFormat="1" ht="19.899999999999999" customHeight="1">
      <c r="A257" s="6"/>
      <c r="B257" s="6"/>
    </row>
    <row r="258" spans="1:13" s="13" customFormat="1" ht="19.899999999999999" customHeight="1">
      <c r="A258" s="6"/>
      <c r="B258" s="6"/>
    </row>
    <row r="259" spans="1:13" s="13" customFormat="1" ht="19.899999999999999" customHeight="1">
      <c r="A259" s="5"/>
      <c r="B259" s="5"/>
      <c r="C259" s="7"/>
      <c r="D259" s="7"/>
      <c r="E259" s="7"/>
      <c r="F259" s="7"/>
      <c r="G259" s="7"/>
      <c r="H259" s="7"/>
      <c r="I259" s="7"/>
      <c r="J259" s="7"/>
      <c r="K259" s="7"/>
      <c r="L259" s="7"/>
      <c r="M259" s="7"/>
    </row>
    <row r="260" spans="1:13" s="13" customFormat="1" ht="19.899999999999999" customHeight="1">
      <c r="A260" s="5"/>
      <c r="B260" s="5"/>
      <c r="C260" s="7"/>
      <c r="D260" s="7"/>
      <c r="E260" s="7"/>
      <c r="F260" s="7"/>
      <c r="G260" s="7"/>
      <c r="H260" s="7"/>
      <c r="I260" s="7"/>
      <c r="J260" s="7"/>
      <c r="K260" s="7"/>
      <c r="L260" s="7"/>
      <c r="M260" s="7"/>
    </row>
  </sheetData>
  <sheetProtection algorithmName="SHA-512" hashValue="vP71eWAW3UVGOGg3DkwyER74b+/MhralaC0jv2Dv7PyIKA8qvJoDYAv6I+3tYpWK/qPqk20kUEhieo7UZaaGSQ==" saltValue="HkEIXrMyN/MYiyGQmVPxnA==" spinCount="100000" sheet="1" objects="1" scenarios="1"/>
  <mergeCells count="13">
    <mergeCell ref="F238:F239"/>
    <mergeCell ref="B127:K127"/>
    <mergeCell ref="A31:A32"/>
    <mergeCell ref="B208:K208"/>
    <mergeCell ref="B54:K54"/>
    <mergeCell ref="B31:K31"/>
    <mergeCell ref="B175:K175"/>
    <mergeCell ref="B159:K159"/>
    <mergeCell ref="B143:K143"/>
    <mergeCell ref="B111:K111"/>
    <mergeCell ref="B79:K79"/>
    <mergeCell ref="B95:K95"/>
    <mergeCell ref="B191:K191"/>
  </mergeCell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opLeftCell="A4" workbookViewId="0">
      <selection activeCell="E30" sqref="E30"/>
    </sheetView>
  </sheetViews>
  <sheetFormatPr defaultRowHeight="14.25"/>
  <cols>
    <col min="2" max="2" width="25.75" customWidth="1"/>
    <col min="3" max="3" width="22.875" customWidth="1"/>
    <col min="4" max="5" width="21.875" customWidth="1"/>
    <col min="6" max="6" width="15.625" customWidth="1"/>
    <col min="17" max="17" width="12.625" customWidth="1"/>
  </cols>
  <sheetData>
    <row r="1" spans="1:17" ht="104.25" customHeight="1">
      <c r="A1" s="519" t="s">
        <v>1628</v>
      </c>
      <c r="B1" s="519" t="s">
        <v>1629</v>
      </c>
      <c r="C1" s="519" t="s">
        <v>1447</v>
      </c>
      <c r="D1" s="519" t="s">
        <v>1630</v>
      </c>
      <c r="E1" s="519" t="s">
        <v>1631</v>
      </c>
      <c r="F1" s="519" t="s">
        <v>0</v>
      </c>
    </row>
    <row r="2" spans="1:17">
      <c r="A2" t="s">
        <v>117</v>
      </c>
      <c r="B2" t="s">
        <v>124</v>
      </c>
      <c r="C2" t="s">
        <v>1632</v>
      </c>
      <c r="D2">
        <v>3</v>
      </c>
      <c r="E2" t="s">
        <v>1633</v>
      </c>
      <c r="F2">
        <v>1</v>
      </c>
    </row>
    <row r="3" spans="1:17">
      <c r="A3" t="s">
        <v>117</v>
      </c>
      <c r="B3" t="s">
        <v>118</v>
      </c>
      <c r="C3" t="s">
        <v>172</v>
      </c>
      <c r="D3">
        <v>1</v>
      </c>
      <c r="E3" t="s">
        <v>1634</v>
      </c>
      <c r="F3">
        <v>4</v>
      </c>
    </row>
    <row r="4" spans="1:17">
      <c r="A4" t="s">
        <v>117</v>
      </c>
      <c r="B4" t="s">
        <v>118</v>
      </c>
      <c r="C4" t="s">
        <v>1635</v>
      </c>
      <c r="D4">
        <v>0</v>
      </c>
      <c r="E4" t="s">
        <v>1636</v>
      </c>
      <c r="F4">
        <v>0</v>
      </c>
      <c r="I4" t="s">
        <v>1637</v>
      </c>
      <c r="J4" t="s">
        <v>1638</v>
      </c>
    </row>
    <row r="5" spans="1:17">
      <c r="A5" t="s">
        <v>117</v>
      </c>
      <c r="B5" t="s">
        <v>124</v>
      </c>
      <c r="C5" t="s">
        <v>1460</v>
      </c>
      <c r="D5">
        <v>6</v>
      </c>
      <c r="E5" t="s">
        <v>1639</v>
      </c>
      <c r="F5">
        <v>2</v>
      </c>
      <c r="I5" t="s">
        <v>1640</v>
      </c>
      <c r="J5">
        <v>0</v>
      </c>
      <c r="K5">
        <v>1</v>
      </c>
      <c r="L5">
        <v>2</v>
      </c>
      <c r="M5">
        <v>3</v>
      </c>
      <c r="N5">
        <v>4</v>
      </c>
      <c r="O5">
        <v>5</v>
      </c>
      <c r="P5" t="s">
        <v>1641</v>
      </c>
      <c r="Q5" t="s">
        <v>1642</v>
      </c>
    </row>
    <row r="6" spans="1:17">
      <c r="A6" t="s">
        <v>117</v>
      </c>
      <c r="B6" t="s">
        <v>132</v>
      </c>
      <c r="C6" t="s">
        <v>1643</v>
      </c>
      <c r="E6" t="s">
        <v>1633</v>
      </c>
      <c r="F6">
        <v>1</v>
      </c>
      <c r="I6" s="520">
        <v>0</v>
      </c>
      <c r="J6" s="521">
        <v>2</v>
      </c>
      <c r="K6" s="521">
        <v>2</v>
      </c>
      <c r="L6" s="521">
        <v>5</v>
      </c>
      <c r="M6" s="521">
        <v>3</v>
      </c>
      <c r="N6" s="521"/>
      <c r="O6" s="521">
        <v>1</v>
      </c>
      <c r="P6" s="521"/>
      <c r="Q6" s="521">
        <v>13</v>
      </c>
    </row>
    <row r="7" spans="1:17">
      <c r="A7" t="s">
        <v>120</v>
      </c>
      <c r="B7" t="s">
        <v>118</v>
      </c>
      <c r="C7" t="s">
        <v>1644</v>
      </c>
      <c r="E7" t="s">
        <v>1645</v>
      </c>
      <c r="F7">
        <v>3</v>
      </c>
      <c r="I7" s="520">
        <v>1</v>
      </c>
      <c r="J7" s="521">
        <v>5</v>
      </c>
      <c r="K7" s="521">
        <v>6</v>
      </c>
      <c r="L7" s="521">
        <v>2</v>
      </c>
      <c r="M7" s="521">
        <v>2</v>
      </c>
      <c r="N7" s="521">
        <v>1</v>
      </c>
      <c r="O7" s="521"/>
      <c r="P7" s="521"/>
      <c r="Q7" s="521">
        <v>16</v>
      </c>
    </row>
    <row r="8" spans="1:17">
      <c r="A8" t="s">
        <v>1646</v>
      </c>
      <c r="B8" t="s">
        <v>124</v>
      </c>
      <c r="C8" t="s">
        <v>116</v>
      </c>
      <c r="D8">
        <v>4</v>
      </c>
      <c r="E8" t="s">
        <v>1645</v>
      </c>
      <c r="F8">
        <v>3</v>
      </c>
      <c r="I8" s="520">
        <v>2</v>
      </c>
      <c r="J8" s="521">
        <v>1</v>
      </c>
      <c r="K8" s="521">
        <v>9</v>
      </c>
      <c r="L8" s="521">
        <v>1</v>
      </c>
      <c r="M8" s="521"/>
      <c r="N8" s="521"/>
      <c r="O8" s="521"/>
      <c r="P8" s="521"/>
      <c r="Q8" s="521">
        <v>11</v>
      </c>
    </row>
    <row r="9" spans="1:17">
      <c r="A9" t="s">
        <v>117</v>
      </c>
      <c r="B9" t="s">
        <v>118</v>
      </c>
      <c r="C9" t="s">
        <v>1635</v>
      </c>
      <c r="D9">
        <v>0</v>
      </c>
      <c r="E9" t="s">
        <v>1647</v>
      </c>
      <c r="F9">
        <v>0</v>
      </c>
      <c r="I9" s="520">
        <v>3</v>
      </c>
      <c r="J9" s="521">
        <v>1</v>
      </c>
      <c r="K9" s="521">
        <v>7</v>
      </c>
      <c r="L9" s="521">
        <v>5</v>
      </c>
      <c r="M9" s="521"/>
      <c r="N9" s="521"/>
      <c r="O9" s="521"/>
      <c r="P9" s="521"/>
      <c r="Q9" s="521">
        <v>13</v>
      </c>
    </row>
    <row r="10" spans="1:17">
      <c r="A10" t="s">
        <v>1648</v>
      </c>
      <c r="B10" t="s">
        <v>118</v>
      </c>
      <c r="C10" t="s">
        <v>1635</v>
      </c>
      <c r="E10" t="s">
        <v>1634</v>
      </c>
      <c r="F10">
        <v>4</v>
      </c>
      <c r="I10" s="520">
        <v>4</v>
      </c>
      <c r="J10" s="521"/>
      <c r="K10" s="521">
        <v>3</v>
      </c>
      <c r="L10" s="521">
        <v>2</v>
      </c>
      <c r="M10" s="521">
        <v>2</v>
      </c>
      <c r="N10" s="521"/>
      <c r="O10" s="521"/>
      <c r="P10" s="521"/>
      <c r="Q10" s="521">
        <v>7</v>
      </c>
    </row>
    <row r="11" spans="1:17">
      <c r="A11" t="s">
        <v>120</v>
      </c>
      <c r="B11" t="s">
        <v>124</v>
      </c>
      <c r="C11" t="s">
        <v>1462</v>
      </c>
      <c r="D11">
        <v>0</v>
      </c>
      <c r="E11" t="s">
        <v>1633</v>
      </c>
      <c r="F11">
        <v>1</v>
      </c>
      <c r="I11" s="520">
        <v>5</v>
      </c>
      <c r="J11" s="521"/>
      <c r="K11" s="521">
        <v>1</v>
      </c>
      <c r="L11" s="521">
        <v>3</v>
      </c>
      <c r="M11" s="521">
        <v>1</v>
      </c>
      <c r="N11" s="521"/>
      <c r="O11" s="521"/>
      <c r="P11" s="521"/>
      <c r="Q11" s="521">
        <v>5</v>
      </c>
    </row>
    <row r="12" spans="1:17">
      <c r="A12" t="s">
        <v>136</v>
      </c>
      <c r="B12" t="s">
        <v>132</v>
      </c>
      <c r="C12" t="s">
        <v>1649</v>
      </c>
      <c r="D12">
        <v>10</v>
      </c>
      <c r="E12" t="s">
        <v>1633</v>
      </c>
      <c r="F12">
        <v>1</v>
      </c>
      <c r="I12" s="520">
        <v>6</v>
      </c>
      <c r="J12" s="521">
        <v>1</v>
      </c>
      <c r="K12" s="521"/>
      <c r="L12" s="521">
        <v>3</v>
      </c>
      <c r="M12" s="521"/>
      <c r="N12" s="521"/>
      <c r="O12" s="521"/>
      <c r="P12" s="521"/>
      <c r="Q12" s="521">
        <v>4</v>
      </c>
    </row>
    <row r="13" spans="1:17">
      <c r="A13" t="s">
        <v>120</v>
      </c>
      <c r="B13" t="s">
        <v>124</v>
      </c>
      <c r="C13" t="s">
        <v>1650</v>
      </c>
      <c r="D13">
        <v>2</v>
      </c>
      <c r="E13" t="s">
        <v>1633</v>
      </c>
      <c r="F13">
        <v>1</v>
      </c>
      <c r="I13" s="520">
        <v>10</v>
      </c>
      <c r="J13" s="521">
        <v>1</v>
      </c>
      <c r="K13" s="521">
        <v>1</v>
      </c>
      <c r="L13" s="521">
        <v>4</v>
      </c>
      <c r="M13" s="521"/>
      <c r="N13" s="521"/>
      <c r="O13" s="521"/>
      <c r="P13" s="521"/>
      <c r="Q13" s="521">
        <v>6</v>
      </c>
    </row>
    <row r="14" spans="1:17">
      <c r="A14" t="s">
        <v>117</v>
      </c>
      <c r="B14" t="s">
        <v>124</v>
      </c>
      <c r="C14" t="s">
        <v>116</v>
      </c>
      <c r="D14">
        <v>1</v>
      </c>
      <c r="E14" t="s">
        <v>1647</v>
      </c>
      <c r="F14">
        <v>0</v>
      </c>
      <c r="I14" s="520">
        <v>14</v>
      </c>
      <c r="J14" s="521">
        <v>1</v>
      </c>
      <c r="K14" s="521"/>
      <c r="L14" s="521"/>
      <c r="M14" s="521"/>
      <c r="N14" s="521"/>
      <c r="O14" s="521"/>
      <c r="P14" s="521"/>
      <c r="Q14" s="521">
        <v>1</v>
      </c>
    </row>
    <row r="15" spans="1:17">
      <c r="A15" t="s">
        <v>117</v>
      </c>
      <c r="B15" t="s">
        <v>118</v>
      </c>
      <c r="C15" t="s">
        <v>1651</v>
      </c>
      <c r="D15">
        <v>1</v>
      </c>
      <c r="E15" t="s">
        <v>1647</v>
      </c>
      <c r="F15">
        <v>0</v>
      </c>
      <c r="I15" s="520">
        <v>15</v>
      </c>
      <c r="J15" s="521">
        <v>1</v>
      </c>
      <c r="K15" s="521"/>
      <c r="L15" s="521"/>
      <c r="M15" s="521"/>
      <c r="N15" s="521"/>
      <c r="O15" s="521"/>
      <c r="P15" s="521"/>
      <c r="Q15" s="521">
        <v>1</v>
      </c>
    </row>
    <row r="16" spans="1:17">
      <c r="A16" t="s">
        <v>117</v>
      </c>
      <c r="B16" t="s">
        <v>124</v>
      </c>
      <c r="C16" t="s">
        <v>1652</v>
      </c>
      <c r="D16">
        <v>1</v>
      </c>
      <c r="E16" t="s">
        <v>1645</v>
      </c>
      <c r="I16" s="520">
        <v>20</v>
      </c>
      <c r="J16" s="521">
        <v>1</v>
      </c>
      <c r="K16" s="521">
        <v>1</v>
      </c>
      <c r="L16" s="521">
        <v>1</v>
      </c>
      <c r="M16" s="521"/>
      <c r="N16" s="521"/>
      <c r="O16" s="521"/>
      <c r="P16" s="521"/>
      <c r="Q16" s="521">
        <v>3</v>
      </c>
    </row>
    <row r="17" spans="1:17">
      <c r="A17" t="s">
        <v>136</v>
      </c>
      <c r="B17" t="s">
        <v>132</v>
      </c>
      <c r="C17" t="s">
        <v>1653</v>
      </c>
      <c r="D17">
        <v>20</v>
      </c>
      <c r="E17" t="s">
        <v>1633</v>
      </c>
      <c r="F17">
        <v>1</v>
      </c>
      <c r="I17" s="520" t="s">
        <v>1642</v>
      </c>
      <c r="J17" s="521">
        <v>14</v>
      </c>
      <c r="K17" s="521">
        <v>30</v>
      </c>
      <c r="L17" s="521">
        <v>26</v>
      </c>
      <c r="M17" s="521">
        <v>8</v>
      </c>
      <c r="N17" s="521">
        <v>1</v>
      </c>
      <c r="O17" s="521">
        <v>1</v>
      </c>
      <c r="P17" s="521"/>
      <c r="Q17" s="521">
        <v>80</v>
      </c>
    </row>
    <row r="18" spans="1:17">
      <c r="A18" t="s">
        <v>117</v>
      </c>
      <c r="B18" t="s">
        <v>118</v>
      </c>
      <c r="C18" t="s">
        <v>1654</v>
      </c>
      <c r="D18">
        <v>1</v>
      </c>
      <c r="E18" t="s">
        <v>1647</v>
      </c>
      <c r="F18">
        <v>0</v>
      </c>
    </row>
    <row r="19" spans="1:17">
      <c r="A19" t="s">
        <v>117</v>
      </c>
      <c r="B19" t="s">
        <v>118</v>
      </c>
      <c r="C19" t="s">
        <v>1635</v>
      </c>
      <c r="D19">
        <v>3</v>
      </c>
      <c r="E19" t="s">
        <v>1633</v>
      </c>
      <c r="F19">
        <v>1</v>
      </c>
    </row>
    <row r="20" spans="1:17">
      <c r="A20" t="s">
        <v>120</v>
      </c>
      <c r="B20" t="s">
        <v>118</v>
      </c>
      <c r="C20" t="s">
        <v>1655</v>
      </c>
      <c r="D20">
        <v>0</v>
      </c>
      <c r="E20" t="s">
        <v>1633</v>
      </c>
      <c r="F20">
        <v>1</v>
      </c>
    </row>
    <row r="21" spans="1:17">
      <c r="A21" t="s">
        <v>117</v>
      </c>
      <c r="B21" t="s">
        <v>118</v>
      </c>
      <c r="C21" t="s">
        <v>1635</v>
      </c>
      <c r="D21">
        <v>0</v>
      </c>
      <c r="E21" t="s">
        <v>1656</v>
      </c>
      <c r="F21">
        <v>5</v>
      </c>
    </row>
    <row r="22" spans="1:17">
      <c r="A22" t="s">
        <v>117</v>
      </c>
      <c r="B22" t="s">
        <v>118</v>
      </c>
      <c r="C22" t="s">
        <v>1635</v>
      </c>
      <c r="D22">
        <v>14</v>
      </c>
      <c r="E22" t="s">
        <v>1647</v>
      </c>
      <c r="F22">
        <v>0</v>
      </c>
    </row>
    <row r="23" spans="1:17">
      <c r="A23" t="s">
        <v>120</v>
      </c>
      <c r="B23" t="s">
        <v>124</v>
      </c>
      <c r="C23" t="s">
        <v>1462</v>
      </c>
      <c r="D23">
        <v>3</v>
      </c>
      <c r="E23" t="s">
        <v>1633</v>
      </c>
      <c r="F23">
        <v>1</v>
      </c>
    </row>
    <row r="24" spans="1:17">
      <c r="A24" t="s">
        <v>120</v>
      </c>
      <c r="B24" t="s">
        <v>118</v>
      </c>
      <c r="C24" t="s">
        <v>1657</v>
      </c>
      <c r="E24" t="s">
        <v>1647</v>
      </c>
      <c r="F24">
        <v>0</v>
      </c>
    </row>
    <row r="25" spans="1:17">
      <c r="A25" t="s">
        <v>117</v>
      </c>
      <c r="B25" t="s">
        <v>124</v>
      </c>
      <c r="C25" t="s">
        <v>1658</v>
      </c>
      <c r="D25">
        <v>2</v>
      </c>
      <c r="E25" t="s">
        <v>1633</v>
      </c>
      <c r="F25">
        <v>1</v>
      </c>
    </row>
    <row r="26" spans="1:17">
      <c r="A26" t="s">
        <v>117</v>
      </c>
      <c r="B26" t="s">
        <v>124</v>
      </c>
      <c r="C26" t="s">
        <v>1659</v>
      </c>
      <c r="D26">
        <v>2</v>
      </c>
      <c r="E26" t="s">
        <v>1633</v>
      </c>
      <c r="F26">
        <v>1</v>
      </c>
    </row>
    <row r="27" spans="1:17">
      <c r="A27" t="s">
        <v>120</v>
      </c>
      <c r="B27" t="s">
        <v>118</v>
      </c>
      <c r="C27" t="s">
        <v>1460</v>
      </c>
      <c r="D27">
        <v>1</v>
      </c>
      <c r="E27" t="s">
        <v>1645</v>
      </c>
      <c r="F27">
        <v>3</v>
      </c>
    </row>
    <row r="28" spans="1:17">
      <c r="A28" t="s">
        <v>117</v>
      </c>
      <c r="B28" t="s">
        <v>118</v>
      </c>
      <c r="C28" t="s">
        <v>1462</v>
      </c>
      <c r="D28">
        <v>0</v>
      </c>
      <c r="E28" t="s">
        <v>1660</v>
      </c>
      <c r="F28">
        <v>2</v>
      </c>
    </row>
    <row r="29" spans="1:17">
      <c r="A29" t="s">
        <v>120</v>
      </c>
      <c r="B29" t="s">
        <v>124</v>
      </c>
      <c r="C29" t="s">
        <v>1655</v>
      </c>
      <c r="D29">
        <v>0</v>
      </c>
      <c r="E29" t="s">
        <v>1660</v>
      </c>
      <c r="F29">
        <v>2</v>
      </c>
    </row>
    <row r="30" spans="1:17">
      <c r="A30" t="s">
        <v>120</v>
      </c>
      <c r="B30" t="s">
        <v>124</v>
      </c>
      <c r="C30" t="s">
        <v>1635</v>
      </c>
      <c r="D30">
        <v>0</v>
      </c>
      <c r="E30" t="s">
        <v>1645</v>
      </c>
      <c r="F30">
        <v>3</v>
      </c>
    </row>
    <row r="31" spans="1:17">
      <c r="A31" t="s">
        <v>120</v>
      </c>
      <c r="B31" t="s">
        <v>118</v>
      </c>
      <c r="C31" t="s">
        <v>1661</v>
      </c>
      <c r="D31">
        <v>0</v>
      </c>
      <c r="E31" t="s">
        <v>1660</v>
      </c>
      <c r="F31">
        <v>2</v>
      </c>
    </row>
    <row r="32" spans="1:17">
      <c r="A32" t="s">
        <v>120</v>
      </c>
      <c r="B32" t="s">
        <v>118</v>
      </c>
      <c r="C32" t="s">
        <v>1462</v>
      </c>
      <c r="E32" t="s">
        <v>1633</v>
      </c>
      <c r="F32">
        <v>1</v>
      </c>
    </row>
    <row r="33" spans="1:6">
      <c r="A33" t="s">
        <v>1646</v>
      </c>
      <c r="B33" t="s">
        <v>118</v>
      </c>
      <c r="C33" t="s">
        <v>1662</v>
      </c>
      <c r="D33">
        <v>4</v>
      </c>
      <c r="E33" t="s">
        <v>1633</v>
      </c>
      <c r="F33">
        <v>1</v>
      </c>
    </row>
    <row r="34" spans="1:6">
      <c r="A34" t="s">
        <v>120</v>
      </c>
      <c r="B34" t="s">
        <v>118</v>
      </c>
      <c r="C34" t="s">
        <v>1462</v>
      </c>
      <c r="D34">
        <v>0</v>
      </c>
      <c r="E34" t="s">
        <v>1660</v>
      </c>
      <c r="F34">
        <v>2</v>
      </c>
    </row>
    <row r="35" spans="1:6">
      <c r="A35" t="s">
        <v>117</v>
      </c>
      <c r="B35" t="s">
        <v>124</v>
      </c>
      <c r="C35" t="s">
        <v>1663</v>
      </c>
      <c r="D35">
        <v>10</v>
      </c>
      <c r="E35" t="s">
        <v>1660</v>
      </c>
    </row>
    <row r="36" spans="1:6">
      <c r="A36" t="s">
        <v>117</v>
      </c>
      <c r="B36" t="s">
        <v>124</v>
      </c>
      <c r="C36" t="s">
        <v>1664</v>
      </c>
      <c r="D36">
        <v>5</v>
      </c>
      <c r="E36" t="s">
        <v>1660</v>
      </c>
      <c r="F36">
        <v>2</v>
      </c>
    </row>
    <row r="37" spans="1:6">
      <c r="A37" t="s">
        <v>120</v>
      </c>
      <c r="B37" t="s">
        <v>118</v>
      </c>
      <c r="C37" t="s">
        <v>1635</v>
      </c>
      <c r="D37">
        <v>10</v>
      </c>
      <c r="E37" t="s">
        <v>1660</v>
      </c>
      <c r="F37">
        <v>2</v>
      </c>
    </row>
    <row r="38" spans="1:6">
      <c r="A38" t="s">
        <v>117</v>
      </c>
      <c r="B38" t="s">
        <v>118</v>
      </c>
      <c r="C38" t="s">
        <v>1665</v>
      </c>
      <c r="D38">
        <v>5</v>
      </c>
      <c r="E38" t="s">
        <v>1660</v>
      </c>
      <c r="F38">
        <v>2</v>
      </c>
    </row>
    <row r="39" spans="1:6">
      <c r="A39" t="s">
        <v>120</v>
      </c>
      <c r="B39" t="s">
        <v>124</v>
      </c>
      <c r="C39" t="s">
        <v>1635</v>
      </c>
      <c r="E39" t="s">
        <v>1633</v>
      </c>
      <c r="F39">
        <v>1</v>
      </c>
    </row>
    <row r="40" spans="1:6">
      <c r="A40" t="s">
        <v>120</v>
      </c>
      <c r="B40" t="s">
        <v>124</v>
      </c>
      <c r="C40" t="s">
        <v>1665</v>
      </c>
      <c r="D40">
        <v>5</v>
      </c>
      <c r="E40" t="s">
        <v>1660</v>
      </c>
      <c r="F40">
        <v>2</v>
      </c>
    </row>
    <row r="41" spans="1:6">
      <c r="A41" t="s">
        <v>117</v>
      </c>
      <c r="B41" t="s">
        <v>124</v>
      </c>
      <c r="C41" t="s">
        <v>1666</v>
      </c>
      <c r="D41">
        <v>20</v>
      </c>
      <c r="E41" t="s">
        <v>1660</v>
      </c>
      <c r="F41">
        <v>2</v>
      </c>
    </row>
    <row r="42" spans="1:6">
      <c r="A42" t="s">
        <v>117</v>
      </c>
      <c r="B42" t="s">
        <v>118</v>
      </c>
      <c r="C42" t="s">
        <v>1667</v>
      </c>
      <c r="D42">
        <v>15</v>
      </c>
      <c r="E42" t="s">
        <v>1647</v>
      </c>
      <c r="F42">
        <v>0</v>
      </c>
    </row>
    <row r="43" spans="1:6">
      <c r="A43" t="s">
        <v>120</v>
      </c>
      <c r="B43" t="s">
        <v>132</v>
      </c>
      <c r="C43" t="s">
        <v>1667</v>
      </c>
      <c r="D43">
        <v>10</v>
      </c>
      <c r="E43" t="s">
        <v>1660</v>
      </c>
      <c r="F43">
        <v>2</v>
      </c>
    </row>
    <row r="44" spans="1:6">
      <c r="A44" t="s">
        <v>117</v>
      </c>
      <c r="B44" t="s">
        <v>124</v>
      </c>
      <c r="C44" t="s">
        <v>1667</v>
      </c>
      <c r="D44">
        <v>3</v>
      </c>
      <c r="E44" t="s">
        <v>1660</v>
      </c>
      <c r="F44">
        <v>2</v>
      </c>
    </row>
    <row r="45" spans="1:6">
      <c r="A45" t="s">
        <v>120</v>
      </c>
      <c r="B45" t="s">
        <v>124</v>
      </c>
      <c r="C45" t="s">
        <v>1667</v>
      </c>
      <c r="D45">
        <v>3</v>
      </c>
      <c r="E45" t="s">
        <v>1660</v>
      </c>
      <c r="F45">
        <v>2</v>
      </c>
    </row>
    <row r="46" spans="1:6">
      <c r="A46" t="s">
        <v>117</v>
      </c>
      <c r="B46" t="s">
        <v>124</v>
      </c>
      <c r="C46" t="s">
        <v>1668</v>
      </c>
      <c r="D46">
        <v>4</v>
      </c>
      <c r="E46" t="s">
        <v>1645</v>
      </c>
      <c r="F46">
        <v>3</v>
      </c>
    </row>
    <row r="47" spans="1:6">
      <c r="A47" t="s">
        <v>117</v>
      </c>
      <c r="B47" t="s">
        <v>118</v>
      </c>
      <c r="C47" t="s">
        <v>279</v>
      </c>
      <c r="E47" t="s">
        <v>1633</v>
      </c>
      <c r="F47">
        <v>1</v>
      </c>
    </row>
    <row r="48" spans="1:6">
      <c r="A48" t="s">
        <v>117</v>
      </c>
      <c r="B48" t="s">
        <v>124</v>
      </c>
      <c r="C48" t="s">
        <v>1653</v>
      </c>
      <c r="E48" t="s">
        <v>1647</v>
      </c>
      <c r="F48">
        <v>0</v>
      </c>
    </row>
    <row r="49" spans="1:6">
      <c r="A49" t="s">
        <v>117</v>
      </c>
      <c r="B49" t="s">
        <v>118</v>
      </c>
      <c r="C49" t="s">
        <v>1669</v>
      </c>
      <c r="D49">
        <v>2</v>
      </c>
      <c r="E49" t="s">
        <v>1633</v>
      </c>
      <c r="F49">
        <v>1</v>
      </c>
    </row>
    <row r="50" spans="1:6">
      <c r="A50" t="s">
        <v>117</v>
      </c>
      <c r="B50" t="s">
        <v>118</v>
      </c>
      <c r="C50" t="s">
        <v>1670</v>
      </c>
      <c r="E50" t="s">
        <v>1647</v>
      </c>
      <c r="F50">
        <v>0</v>
      </c>
    </row>
    <row r="51" spans="1:6">
      <c r="A51" t="s">
        <v>117</v>
      </c>
      <c r="B51" t="s">
        <v>118</v>
      </c>
      <c r="C51" t="s">
        <v>1465</v>
      </c>
      <c r="D51">
        <v>2</v>
      </c>
      <c r="E51" t="s">
        <v>1633</v>
      </c>
      <c r="F51">
        <v>1</v>
      </c>
    </row>
    <row r="52" spans="1:6">
      <c r="A52" t="s">
        <v>117</v>
      </c>
      <c r="B52" t="s">
        <v>124</v>
      </c>
      <c r="C52" t="s">
        <v>1465</v>
      </c>
      <c r="D52">
        <v>3</v>
      </c>
      <c r="E52" t="s">
        <v>1633</v>
      </c>
      <c r="F52">
        <v>1</v>
      </c>
    </row>
    <row r="53" spans="1:6">
      <c r="A53" t="s">
        <v>117</v>
      </c>
      <c r="B53" t="s">
        <v>124</v>
      </c>
      <c r="C53" t="s">
        <v>1653</v>
      </c>
      <c r="D53">
        <v>5</v>
      </c>
      <c r="E53" t="s">
        <v>1645</v>
      </c>
      <c r="F53">
        <v>3</v>
      </c>
    </row>
    <row r="54" spans="1:6">
      <c r="A54" t="s">
        <v>117</v>
      </c>
      <c r="B54" t="s">
        <v>118</v>
      </c>
      <c r="C54" t="s">
        <v>1465</v>
      </c>
      <c r="D54">
        <v>3</v>
      </c>
      <c r="E54" t="s">
        <v>1660</v>
      </c>
      <c r="F54">
        <v>2</v>
      </c>
    </row>
    <row r="55" spans="1:6">
      <c r="A55" t="s">
        <v>117</v>
      </c>
      <c r="B55" t="s">
        <v>124</v>
      </c>
      <c r="C55" t="s">
        <v>1671</v>
      </c>
      <c r="D55">
        <v>1</v>
      </c>
      <c r="E55" t="s">
        <v>1633</v>
      </c>
      <c r="F55">
        <v>1</v>
      </c>
    </row>
    <row r="56" spans="1:6">
      <c r="A56" t="s">
        <v>1646</v>
      </c>
      <c r="B56" t="s">
        <v>124</v>
      </c>
      <c r="C56" t="s">
        <v>1465</v>
      </c>
      <c r="E56" t="s">
        <v>1633</v>
      </c>
      <c r="F56">
        <v>1</v>
      </c>
    </row>
    <row r="57" spans="1:6">
      <c r="A57" t="s">
        <v>117</v>
      </c>
      <c r="B57" t="s">
        <v>118</v>
      </c>
      <c r="C57" t="s">
        <v>116</v>
      </c>
      <c r="D57">
        <v>2</v>
      </c>
      <c r="E57" t="s">
        <v>1647</v>
      </c>
      <c r="F57">
        <v>0</v>
      </c>
    </row>
    <row r="58" spans="1:6">
      <c r="A58" t="s">
        <v>117</v>
      </c>
      <c r="B58" t="s">
        <v>124</v>
      </c>
      <c r="C58" t="s">
        <v>1672</v>
      </c>
      <c r="D58">
        <v>1</v>
      </c>
      <c r="E58" t="s">
        <v>1647</v>
      </c>
      <c r="F58">
        <v>0</v>
      </c>
    </row>
    <row r="59" spans="1:6">
      <c r="A59" t="s">
        <v>120</v>
      </c>
      <c r="B59" t="s">
        <v>132</v>
      </c>
      <c r="C59" t="s">
        <v>1670</v>
      </c>
      <c r="D59">
        <v>5</v>
      </c>
      <c r="E59" t="s">
        <v>1633</v>
      </c>
      <c r="F59">
        <v>1</v>
      </c>
    </row>
    <row r="60" spans="1:6">
      <c r="A60" t="s">
        <v>120</v>
      </c>
      <c r="B60" t="s">
        <v>124</v>
      </c>
      <c r="C60" t="s">
        <v>1465</v>
      </c>
      <c r="D60">
        <v>10</v>
      </c>
      <c r="E60" t="s">
        <v>1660</v>
      </c>
      <c r="F60">
        <v>2</v>
      </c>
    </row>
    <row r="61" spans="1:6">
      <c r="A61" t="s">
        <v>120</v>
      </c>
      <c r="B61" t="s">
        <v>118</v>
      </c>
      <c r="C61" t="s">
        <v>1673</v>
      </c>
      <c r="D61">
        <v>0</v>
      </c>
      <c r="E61" t="s">
        <v>1660</v>
      </c>
      <c r="F61">
        <v>2</v>
      </c>
    </row>
    <row r="62" spans="1:6">
      <c r="A62" t="s">
        <v>117</v>
      </c>
      <c r="B62" t="s">
        <v>132</v>
      </c>
      <c r="C62" t="s">
        <v>1465</v>
      </c>
      <c r="E62" t="s">
        <v>1633</v>
      </c>
      <c r="F62">
        <v>1</v>
      </c>
    </row>
    <row r="63" spans="1:6">
      <c r="A63" t="s">
        <v>117</v>
      </c>
      <c r="B63" t="s">
        <v>124</v>
      </c>
      <c r="C63" t="s">
        <v>1674</v>
      </c>
      <c r="E63" t="s">
        <v>1633</v>
      </c>
      <c r="F63">
        <v>1</v>
      </c>
    </row>
    <row r="64" spans="1:6">
      <c r="A64" t="s">
        <v>120</v>
      </c>
      <c r="B64" t="s">
        <v>124</v>
      </c>
      <c r="C64" t="s">
        <v>1465</v>
      </c>
    </row>
    <row r="65" spans="1:6">
      <c r="A65" t="s">
        <v>1646</v>
      </c>
      <c r="B65" t="s">
        <v>124</v>
      </c>
      <c r="C65" t="s">
        <v>116</v>
      </c>
      <c r="D65">
        <v>6</v>
      </c>
      <c r="E65" t="s">
        <v>1660</v>
      </c>
      <c r="F65">
        <v>2</v>
      </c>
    </row>
    <row r="66" spans="1:6">
      <c r="A66" t="s">
        <v>117</v>
      </c>
      <c r="B66" t="s">
        <v>124</v>
      </c>
      <c r="C66" t="s">
        <v>1465</v>
      </c>
      <c r="D66">
        <v>1</v>
      </c>
      <c r="E66" t="s">
        <v>1633</v>
      </c>
      <c r="F66">
        <v>1</v>
      </c>
    </row>
    <row r="67" spans="1:6">
      <c r="A67" t="s">
        <v>117</v>
      </c>
      <c r="B67" t="s">
        <v>124</v>
      </c>
      <c r="C67" t="s">
        <v>1465</v>
      </c>
      <c r="D67">
        <v>2</v>
      </c>
      <c r="E67" t="s">
        <v>1633</v>
      </c>
      <c r="F67">
        <v>1</v>
      </c>
    </row>
    <row r="68" spans="1:6">
      <c r="A68" t="s">
        <v>120</v>
      </c>
      <c r="B68" t="s">
        <v>132</v>
      </c>
      <c r="C68" t="s">
        <v>1671</v>
      </c>
      <c r="D68">
        <v>4</v>
      </c>
      <c r="E68" t="s">
        <v>1633</v>
      </c>
      <c r="F68">
        <v>1</v>
      </c>
    </row>
    <row r="69" spans="1:6">
      <c r="A69" t="s">
        <v>120</v>
      </c>
      <c r="B69" t="s">
        <v>124</v>
      </c>
      <c r="C69" t="s">
        <v>1462</v>
      </c>
      <c r="D69">
        <v>1</v>
      </c>
      <c r="E69" t="s">
        <v>1660</v>
      </c>
      <c r="F69">
        <v>2</v>
      </c>
    </row>
    <row r="70" spans="1:6">
      <c r="A70" t="s">
        <v>120</v>
      </c>
      <c r="B70" t="s">
        <v>124</v>
      </c>
      <c r="C70" t="s">
        <v>1675</v>
      </c>
      <c r="D70">
        <v>1</v>
      </c>
      <c r="E70" t="s">
        <v>1647</v>
      </c>
      <c r="F70">
        <v>0</v>
      </c>
    </row>
    <row r="71" spans="1:6">
      <c r="A71" t="s">
        <v>120</v>
      </c>
      <c r="B71" t="s">
        <v>124</v>
      </c>
      <c r="C71" t="s">
        <v>1465</v>
      </c>
      <c r="D71">
        <v>2</v>
      </c>
      <c r="E71" t="s">
        <v>1660</v>
      </c>
      <c r="F71">
        <v>2</v>
      </c>
    </row>
    <row r="72" spans="1:6">
      <c r="A72" t="s">
        <v>117</v>
      </c>
      <c r="B72" t="s">
        <v>124</v>
      </c>
      <c r="C72" t="s">
        <v>116</v>
      </c>
      <c r="D72">
        <v>1</v>
      </c>
      <c r="E72" t="s">
        <v>1633</v>
      </c>
      <c r="F72">
        <v>1</v>
      </c>
    </row>
    <row r="73" spans="1:6">
      <c r="A73" t="s">
        <v>1646</v>
      </c>
      <c r="B73" t="s">
        <v>124</v>
      </c>
      <c r="C73" t="s">
        <v>1670</v>
      </c>
      <c r="D73">
        <v>6</v>
      </c>
      <c r="E73" t="s">
        <v>1660</v>
      </c>
      <c r="F73">
        <v>2</v>
      </c>
    </row>
    <row r="74" spans="1:6">
      <c r="A74" t="s">
        <v>117</v>
      </c>
      <c r="B74" t="s">
        <v>124</v>
      </c>
      <c r="C74" t="s">
        <v>1676</v>
      </c>
      <c r="D74">
        <v>3</v>
      </c>
      <c r="E74" t="s">
        <v>1633</v>
      </c>
      <c r="F74">
        <v>1</v>
      </c>
    </row>
    <row r="75" spans="1:6">
      <c r="A75" t="s">
        <v>117</v>
      </c>
      <c r="B75" t="s">
        <v>124</v>
      </c>
      <c r="C75" t="s">
        <v>1677</v>
      </c>
      <c r="D75">
        <v>4</v>
      </c>
      <c r="E75" t="s">
        <v>1660</v>
      </c>
      <c r="F75">
        <v>2</v>
      </c>
    </row>
    <row r="76" spans="1:6">
      <c r="A76" t="s">
        <v>120</v>
      </c>
      <c r="B76" t="s">
        <v>118</v>
      </c>
      <c r="C76" t="s">
        <v>1678</v>
      </c>
      <c r="D76">
        <v>0</v>
      </c>
      <c r="E76" t="s">
        <v>1645</v>
      </c>
      <c r="F76">
        <v>3</v>
      </c>
    </row>
    <row r="77" spans="1:6">
      <c r="A77" t="s">
        <v>120</v>
      </c>
      <c r="B77" t="s">
        <v>132</v>
      </c>
      <c r="C77" t="s">
        <v>1679</v>
      </c>
      <c r="D77">
        <v>10</v>
      </c>
      <c r="E77" t="s">
        <v>1633</v>
      </c>
    </row>
    <row r="78" spans="1:6">
      <c r="A78" t="s">
        <v>117</v>
      </c>
      <c r="B78" t="s">
        <v>118</v>
      </c>
      <c r="C78" t="s">
        <v>1671</v>
      </c>
      <c r="D78">
        <v>3</v>
      </c>
      <c r="E78" t="s">
        <v>1647</v>
      </c>
      <c r="F78">
        <v>0</v>
      </c>
    </row>
    <row r="79" spans="1:6">
      <c r="A79" t="s">
        <v>117</v>
      </c>
      <c r="B79" t="s">
        <v>124</v>
      </c>
      <c r="C79" t="s">
        <v>1465</v>
      </c>
      <c r="D79">
        <v>2</v>
      </c>
      <c r="E79" t="s">
        <v>1633</v>
      </c>
      <c r="F79">
        <v>1</v>
      </c>
    </row>
    <row r="80" spans="1:6">
      <c r="A80" t="s">
        <v>117</v>
      </c>
      <c r="B80" t="s">
        <v>124</v>
      </c>
      <c r="C80" t="s">
        <v>1465</v>
      </c>
      <c r="D80">
        <v>0</v>
      </c>
      <c r="E80" t="s">
        <v>1645</v>
      </c>
      <c r="F80">
        <v>3</v>
      </c>
    </row>
    <row r="81" spans="1:6">
      <c r="A81" t="s">
        <v>120</v>
      </c>
      <c r="B81" t="s">
        <v>124</v>
      </c>
      <c r="C81" t="s">
        <v>1654</v>
      </c>
      <c r="D81">
        <v>3</v>
      </c>
      <c r="E81" t="s">
        <v>1660</v>
      </c>
      <c r="F81">
        <v>2</v>
      </c>
    </row>
    <row r="82" spans="1:6">
      <c r="A82" t="s">
        <v>120</v>
      </c>
      <c r="B82" t="s">
        <v>124</v>
      </c>
      <c r="C82" t="s">
        <v>1465</v>
      </c>
      <c r="D82">
        <v>2</v>
      </c>
      <c r="E82" t="s">
        <v>1633</v>
      </c>
      <c r="F82">
        <v>1</v>
      </c>
    </row>
    <row r="83" spans="1:6">
      <c r="A83" t="s">
        <v>120</v>
      </c>
      <c r="B83" t="s">
        <v>124</v>
      </c>
      <c r="C83" t="s">
        <v>1671</v>
      </c>
      <c r="D83">
        <v>20</v>
      </c>
      <c r="E83" t="s">
        <v>1647</v>
      </c>
      <c r="F83">
        <v>0</v>
      </c>
    </row>
    <row r="84" spans="1:6">
      <c r="A84" t="s">
        <v>120</v>
      </c>
      <c r="B84" t="s">
        <v>124</v>
      </c>
      <c r="C84" t="s">
        <v>1465</v>
      </c>
      <c r="E84" t="s">
        <v>1647</v>
      </c>
      <c r="F84">
        <v>0</v>
      </c>
    </row>
    <row r="85" spans="1:6">
      <c r="A85" t="s">
        <v>120</v>
      </c>
      <c r="B85" t="s">
        <v>124</v>
      </c>
      <c r="C85" t="s">
        <v>1465</v>
      </c>
      <c r="D85">
        <v>10</v>
      </c>
      <c r="E85" t="s">
        <v>1647</v>
      </c>
      <c r="F85">
        <v>0</v>
      </c>
    </row>
    <row r="86" spans="1:6">
      <c r="A86" t="s">
        <v>120</v>
      </c>
      <c r="B86" t="s">
        <v>124</v>
      </c>
      <c r="C86" t="s">
        <v>1465</v>
      </c>
      <c r="D86">
        <v>4</v>
      </c>
      <c r="E86" t="s">
        <v>1633</v>
      </c>
      <c r="F86">
        <v>1</v>
      </c>
    </row>
    <row r="87" spans="1:6">
      <c r="A87" t="s">
        <v>117</v>
      </c>
      <c r="B87" t="s">
        <v>118</v>
      </c>
      <c r="C87" t="s">
        <v>1465</v>
      </c>
      <c r="D87">
        <v>1</v>
      </c>
      <c r="E87" t="s">
        <v>1633</v>
      </c>
      <c r="F87">
        <v>1</v>
      </c>
    </row>
    <row r="88" spans="1:6">
      <c r="A88" t="s">
        <v>120</v>
      </c>
      <c r="B88" t="s">
        <v>132</v>
      </c>
      <c r="C88" t="s">
        <v>1671</v>
      </c>
      <c r="D88">
        <v>3</v>
      </c>
      <c r="E88" t="s">
        <v>1633</v>
      </c>
      <c r="F88">
        <v>1</v>
      </c>
    </row>
    <row r="89" spans="1:6">
      <c r="A89" t="s">
        <v>120</v>
      </c>
      <c r="B89" t="s">
        <v>124</v>
      </c>
      <c r="C89" t="s">
        <v>1465</v>
      </c>
      <c r="E89" t="s">
        <v>1633</v>
      </c>
      <c r="F89">
        <v>1</v>
      </c>
    </row>
    <row r="90" spans="1:6">
      <c r="A90" t="s">
        <v>117</v>
      </c>
      <c r="B90" t="s">
        <v>124</v>
      </c>
      <c r="C90" t="s">
        <v>1465</v>
      </c>
      <c r="D90">
        <v>3</v>
      </c>
      <c r="E90" t="s">
        <v>1633</v>
      </c>
      <c r="F90">
        <v>1</v>
      </c>
    </row>
    <row r="91" spans="1:6">
      <c r="A91" t="s">
        <v>120</v>
      </c>
      <c r="B91" t="s">
        <v>132</v>
      </c>
      <c r="C91" t="s">
        <v>1671</v>
      </c>
      <c r="D91">
        <v>4</v>
      </c>
      <c r="E91" t="s">
        <v>1660</v>
      </c>
      <c r="F91">
        <v>2</v>
      </c>
    </row>
    <row r="92" spans="1:6">
      <c r="A92" t="s">
        <v>117</v>
      </c>
      <c r="B92" t="s">
        <v>124</v>
      </c>
      <c r="C92" t="s">
        <v>1465</v>
      </c>
      <c r="D92">
        <v>6</v>
      </c>
      <c r="E92" t="s">
        <v>1647</v>
      </c>
      <c r="F92">
        <v>0</v>
      </c>
    </row>
    <row r="93" spans="1:6">
      <c r="A93" t="s">
        <v>120</v>
      </c>
      <c r="B93" t="s">
        <v>132</v>
      </c>
      <c r="C93" t="s">
        <v>1465</v>
      </c>
      <c r="D93">
        <v>1</v>
      </c>
      <c r="E93" t="s">
        <v>1645</v>
      </c>
      <c r="F93">
        <v>3</v>
      </c>
    </row>
    <row r="94" spans="1:6">
      <c r="A94" t="s">
        <v>120</v>
      </c>
      <c r="B94" t="s">
        <v>124</v>
      </c>
      <c r="C94" t="s">
        <v>1680</v>
      </c>
      <c r="D94">
        <v>3</v>
      </c>
      <c r="E94" t="s">
        <v>1660</v>
      </c>
      <c r="F94">
        <v>2</v>
      </c>
    </row>
    <row r="95" spans="1:6">
      <c r="A95" t="s">
        <v>117</v>
      </c>
      <c r="B95" t="s">
        <v>124</v>
      </c>
      <c r="C95" t="s">
        <v>1465</v>
      </c>
      <c r="D95">
        <v>1</v>
      </c>
      <c r="E95" t="s">
        <v>1660</v>
      </c>
      <c r="F95">
        <v>2</v>
      </c>
    </row>
    <row r="96" spans="1:6">
      <c r="A96" t="s">
        <v>120</v>
      </c>
      <c r="B96" t="s">
        <v>124</v>
      </c>
      <c r="C96" t="s">
        <v>1465</v>
      </c>
      <c r="D96">
        <v>2</v>
      </c>
      <c r="E96" t="s">
        <v>1633</v>
      </c>
      <c r="F96">
        <v>1</v>
      </c>
    </row>
    <row r="97" spans="1:6">
      <c r="A97" t="s">
        <v>120</v>
      </c>
      <c r="B97" t="s">
        <v>132</v>
      </c>
      <c r="C97" t="s">
        <v>1465</v>
      </c>
      <c r="D97">
        <v>10</v>
      </c>
      <c r="E97" t="s">
        <v>1660</v>
      </c>
      <c r="F97">
        <v>2</v>
      </c>
    </row>
    <row r="98" spans="1:6">
      <c r="A98" t="s">
        <v>117</v>
      </c>
      <c r="B98" t="s">
        <v>118</v>
      </c>
      <c r="C98" t="s">
        <v>1681</v>
      </c>
      <c r="D98">
        <v>1</v>
      </c>
      <c r="E98" t="s">
        <v>1633</v>
      </c>
      <c r="F98">
        <v>1</v>
      </c>
    </row>
    <row r="99" spans="1:6">
      <c r="A99" t="s">
        <v>120</v>
      </c>
      <c r="B99" t="s">
        <v>124</v>
      </c>
      <c r="C99" t="s">
        <v>172</v>
      </c>
      <c r="D99">
        <v>1</v>
      </c>
      <c r="E99" t="s">
        <v>1633</v>
      </c>
      <c r="F99">
        <v>1</v>
      </c>
    </row>
  </sheetData>
  <sheetProtection algorithmName="SHA-512" hashValue="seatExgTfA0RBhZq6UHuTlY+eqnlL/W75GxWsrhOwXXfAAcrShWW8nAbyo5UuUFHhXywNXIfVWejiWMD+bexMA==" saltValue="etGPcOAD07N8m73EL2a2yw=="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topLeftCell="A11" zoomScale="90" zoomScaleNormal="90" workbookViewId="0">
      <selection activeCell="E42" sqref="E42"/>
    </sheetView>
  </sheetViews>
  <sheetFormatPr defaultRowHeight="14.25"/>
  <cols>
    <col min="1" max="1" width="10.25" customWidth="1"/>
    <col min="2" max="2" width="32.25" customWidth="1"/>
  </cols>
  <sheetData>
    <row r="1" spans="1:2" ht="30" customHeight="1">
      <c r="A1" s="710" t="s">
        <v>1273</v>
      </c>
      <c r="B1" s="710"/>
    </row>
    <row r="2" spans="1:2" ht="15">
      <c r="A2" s="109"/>
      <c r="B2" s="110" t="s">
        <v>1274</v>
      </c>
    </row>
    <row r="3" spans="1:2">
      <c r="A3" s="111" t="s">
        <v>1275</v>
      </c>
      <c r="B3">
        <v>937</v>
      </c>
    </row>
    <row r="4" spans="1:2">
      <c r="A4" s="111" t="s">
        <v>1276</v>
      </c>
      <c r="B4">
        <v>971</v>
      </c>
    </row>
    <row r="5" spans="1:2">
      <c r="A5" s="111" t="s">
        <v>1277</v>
      </c>
      <c r="B5">
        <v>983</v>
      </c>
    </row>
    <row r="6" spans="1:2">
      <c r="A6" s="111" t="s">
        <v>1278</v>
      </c>
      <c r="B6">
        <v>934</v>
      </c>
    </row>
    <row r="7" spans="1:2">
      <c r="A7" s="111" t="s">
        <v>1279</v>
      </c>
      <c r="B7">
        <v>944</v>
      </c>
    </row>
    <row r="8" spans="1:2">
      <c r="A8" s="111" t="s">
        <v>1280</v>
      </c>
      <c r="B8">
        <v>959</v>
      </c>
    </row>
    <row r="9" spans="1:2">
      <c r="A9" s="111" t="s">
        <v>1281</v>
      </c>
      <c r="B9">
        <v>976</v>
      </c>
    </row>
    <row r="10" spans="1:2">
      <c r="A10" s="111" t="s">
        <v>1282</v>
      </c>
      <c r="B10">
        <v>979</v>
      </c>
    </row>
    <row r="11" spans="1:2">
      <c r="A11" s="111" t="s">
        <v>1283</v>
      </c>
      <c r="B11">
        <v>983</v>
      </c>
    </row>
    <row r="12" spans="1:2">
      <c r="A12" s="111" t="s">
        <v>1284</v>
      </c>
      <c r="B12">
        <v>987</v>
      </c>
    </row>
    <row r="13" spans="1:2">
      <c r="A13" s="111" t="s">
        <v>1285</v>
      </c>
      <c r="B13">
        <v>1000</v>
      </c>
    </row>
    <row r="14" spans="1:2">
      <c r="A14" s="111" t="s">
        <v>1286</v>
      </c>
      <c r="B14">
        <v>1000</v>
      </c>
    </row>
    <row r="15" spans="1:2">
      <c r="A15" s="111" t="s">
        <v>1287</v>
      </c>
      <c r="B15">
        <v>1005</v>
      </c>
    </row>
    <row r="16" spans="1:2">
      <c r="A16" s="111" t="s">
        <v>1288</v>
      </c>
      <c r="B16">
        <v>1003</v>
      </c>
    </row>
    <row r="17" spans="1:2">
      <c r="A17" s="111" t="s">
        <v>1289</v>
      </c>
      <c r="B17">
        <v>1015</v>
      </c>
    </row>
    <row r="18" spans="1:2">
      <c r="A18" s="111" t="s">
        <v>1290</v>
      </c>
      <c r="B18">
        <v>1019</v>
      </c>
    </row>
    <row r="19" spans="1:2">
      <c r="A19" s="111" t="s">
        <v>1291</v>
      </c>
      <c r="B19">
        <v>1023</v>
      </c>
    </row>
    <row r="20" spans="1:2">
      <c r="A20" s="111" t="s">
        <v>1292</v>
      </c>
      <c r="B20">
        <v>1028</v>
      </c>
    </row>
    <row r="21" spans="1:2">
      <c r="A21" s="111" t="s">
        <v>1293</v>
      </c>
      <c r="B21">
        <v>1035</v>
      </c>
    </row>
    <row r="22" spans="1:2">
      <c r="A22" s="111" t="s">
        <v>1294</v>
      </c>
      <c r="B22">
        <v>1030</v>
      </c>
    </row>
    <row r="23" spans="1:2">
      <c r="A23" s="111" t="s">
        <v>1295</v>
      </c>
      <c r="B23">
        <v>1041</v>
      </c>
    </row>
    <row r="24" spans="1:2">
      <c r="A24" s="111" t="s">
        <v>1296</v>
      </c>
      <c r="B24">
        <v>1042</v>
      </c>
    </row>
    <row r="25" spans="1:2">
      <c r="A25" s="111" t="s">
        <v>1297</v>
      </c>
      <c r="B25">
        <v>1054</v>
      </c>
    </row>
    <row r="26" spans="1:2">
      <c r="A26" s="111" t="s">
        <v>1298</v>
      </c>
      <c r="B26">
        <v>1048</v>
      </c>
    </row>
    <row r="27" spans="1:2">
      <c r="A27" s="111" t="s">
        <v>1299</v>
      </c>
      <c r="B27">
        <v>1060</v>
      </c>
    </row>
    <row r="28" spans="1:2">
      <c r="A28" s="111" t="s">
        <v>1300</v>
      </c>
      <c r="B28">
        <v>1061</v>
      </c>
    </row>
    <row r="29" spans="1:2">
      <c r="A29" s="111" t="s">
        <v>1301</v>
      </c>
      <c r="B29">
        <v>1076</v>
      </c>
    </row>
    <row r="30" spans="1:2">
      <c r="A30" s="111" t="s">
        <v>1302</v>
      </c>
      <c r="B30">
        <v>1091</v>
      </c>
    </row>
    <row r="31" spans="1:2">
      <c r="A31" s="111" t="s">
        <v>1303</v>
      </c>
      <c r="B31">
        <v>1110</v>
      </c>
    </row>
    <row r="32" spans="1:2">
      <c r="A32" s="111" t="s">
        <v>1304</v>
      </c>
      <c r="B32">
        <v>1114</v>
      </c>
    </row>
    <row r="33" spans="1:2">
      <c r="A33" s="111" t="s">
        <v>1305</v>
      </c>
      <c r="B33">
        <v>1163</v>
      </c>
    </row>
    <row r="34" spans="1:2">
      <c r="A34" s="111" t="s">
        <v>1306</v>
      </c>
      <c r="B34">
        <v>1179</v>
      </c>
    </row>
    <row r="35" spans="1:2">
      <c r="A35" t="s">
        <v>1693</v>
      </c>
      <c r="B35">
        <v>1191</v>
      </c>
    </row>
    <row r="36" spans="1:2">
      <c r="A36" t="s">
        <v>1694</v>
      </c>
      <c r="B36">
        <v>1186</v>
      </c>
    </row>
    <row r="37" spans="1:2">
      <c r="A37" t="s">
        <v>1695</v>
      </c>
      <c r="B37">
        <v>1179</v>
      </c>
    </row>
    <row r="38" spans="1:2">
      <c r="A38" t="s">
        <v>1696</v>
      </c>
      <c r="B38">
        <v>1147</v>
      </c>
    </row>
    <row r="39" spans="1:2">
      <c r="A39" t="s">
        <v>1697</v>
      </c>
      <c r="B39">
        <v>1154</v>
      </c>
    </row>
    <row r="40" spans="1:2">
      <c r="A40" s="111"/>
    </row>
    <row r="41" spans="1:2" ht="15" customHeight="1">
      <c r="A41" s="711" t="s">
        <v>1307</v>
      </c>
      <c r="B41" s="711"/>
    </row>
    <row r="42" spans="1:2" ht="15" customHeight="1">
      <c r="A42" s="708" t="s">
        <v>1308</v>
      </c>
      <c r="B42" s="708"/>
    </row>
    <row r="43" spans="1:2" ht="15" customHeight="1">
      <c r="A43" s="708" t="s">
        <v>1309</v>
      </c>
      <c r="B43" s="708"/>
    </row>
    <row r="44" spans="1:2">
      <c r="A44" s="708"/>
      <c r="B44" s="708"/>
    </row>
    <row r="45" spans="1:2" ht="15" customHeight="1">
      <c r="A45" s="711" t="s">
        <v>1310</v>
      </c>
      <c r="B45" s="711"/>
    </row>
    <row r="46" spans="1:2">
      <c r="A46" s="708"/>
      <c r="B46" s="708"/>
    </row>
    <row r="47" spans="1:2" ht="15" customHeight="1">
      <c r="A47" s="708" t="s">
        <v>1311</v>
      </c>
      <c r="B47" s="708"/>
    </row>
    <row r="48" spans="1:2" ht="15" customHeight="1">
      <c r="A48" s="708" t="s">
        <v>1312</v>
      </c>
      <c r="B48" s="708"/>
    </row>
    <row r="49" spans="1:2" ht="15" customHeight="1">
      <c r="A49" s="708" t="s">
        <v>1313</v>
      </c>
      <c r="B49" s="708"/>
    </row>
    <row r="50" spans="1:2" ht="15" customHeight="1">
      <c r="A50" s="708" t="s">
        <v>1314</v>
      </c>
      <c r="B50" s="708"/>
    </row>
    <row r="51" spans="1:2" ht="15" customHeight="1">
      <c r="A51" s="708" t="s">
        <v>1315</v>
      </c>
      <c r="B51" s="708"/>
    </row>
    <row r="52" spans="1:2" ht="15" customHeight="1">
      <c r="A52" s="708" t="s">
        <v>1316</v>
      </c>
      <c r="B52" s="708"/>
    </row>
    <row r="53" spans="1:2" ht="15" customHeight="1">
      <c r="A53" s="708" t="s">
        <v>1317</v>
      </c>
      <c r="B53" s="708"/>
    </row>
    <row r="54" spans="1:2">
      <c r="A54" s="708"/>
      <c r="B54" s="708"/>
    </row>
    <row r="55" spans="1:2" ht="15" customHeight="1">
      <c r="A55" s="708" t="s">
        <v>1318</v>
      </c>
      <c r="B55" s="708"/>
    </row>
    <row r="56" spans="1:2">
      <c r="A56" s="708"/>
      <c r="B56" s="708"/>
    </row>
    <row r="57" spans="1:2" ht="15" customHeight="1">
      <c r="A57" s="708" t="s">
        <v>1319</v>
      </c>
      <c r="B57" s="708"/>
    </row>
    <row r="58" spans="1:2" ht="15" customHeight="1">
      <c r="A58" s="708" t="s">
        <v>1320</v>
      </c>
      <c r="B58" s="708"/>
    </row>
    <row r="59" spans="1:2">
      <c r="A59" s="708"/>
      <c r="B59" s="708"/>
    </row>
    <row r="60" spans="1:2" ht="15" customHeight="1">
      <c r="A60" s="708" t="s">
        <v>1321</v>
      </c>
      <c r="B60" s="708"/>
    </row>
    <row r="61" spans="1:2" ht="15" customHeight="1">
      <c r="A61" s="708" t="s">
        <v>1698</v>
      </c>
      <c r="B61" s="708"/>
    </row>
    <row r="62" spans="1:2">
      <c r="A62" s="708"/>
      <c r="B62" s="708"/>
    </row>
    <row r="63" spans="1:2" ht="15" customHeight="1">
      <c r="A63" s="708" t="s">
        <v>1322</v>
      </c>
      <c r="B63" s="708"/>
    </row>
    <row r="64" spans="1:2" ht="15" customHeight="1">
      <c r="A64" s="708" t="s">
        <v>1323</v>
      </c>
      <c r="B64" s="708"/>
    </row>
    <row r="65" spans="1:2" ht="15" customHeight="1">
      <c r="A65" s="708" t="s">
        <v>1324</v>
      </c>
      <c r="B65" s="708"/>
    </row>
    <row r="66" spans="1:2" ht="15" customHeight="1">
      <c r="A66" s="709" t="s">
        <v>1325</v>
      </c>
      <c r="B66" s="709"/>
    </row>
    <row r="67" spans="1:2">
      <c r="A67" s="708"/>
      <c r="B67" s="708"/>
    </row>
    <row r="68" spans="1:2">
      <c r="A68" s="708"/>
      <c r="B68" s="708"/>
    </row>
  </sheetData>
  <sheetProtection algorithmName="SHA-512" hashValue="h9+KspBT4QTJkkKe6i3xlnnGgTaGFPLKdqDnLk0Fa+xEkYTtwPjEyA7x5DELEmdl+O1Ux0u5W7a233AWpYInJQ==" saltValue="SR+4a1+l+wXmrEES4YAgLA==" spinCount="100000" sheet="1" objects="1" scenarios="1"/>
  <mergeCells count="29">
    <mergeCell ref="A51:B51"/>
    <mergeCell ref="A1:B1"/>
    <mergeCell ref="A41:B41"/>
    <mergeCell ref="A42:B42"/>
    <mergeCell ref="A43:B43"/>
    <mergeCell ref="A44:B44"/>
    <mergeCell ref="A45:B45"/>
    <mergeCell ref="A46:B46"/>
    <mergeCell ref="A47:B47"/>
    <mergeCell ref="A48:B48"/>
    <mergeCell ref="A49:B49"/>
    <mergeCell ref="A50:B50"/>
    <mergeCell ref="A63:B63"/>
    <mergeCell ref="A52:B52"/>
    <mergeCell ref="A53:B53"/>
    <mergeCell ref="A54:B54"/>
    <mergeCell ref="A55:B55"/>
    <mergeCell ref="A56:B56"/>
    <mergeCell ref="A57:B57"/>
    <mergeCell ref="A58:B58"/>
    <mergeCell ref="A59:B59"/>
    <mergeCell ref="A60:B60"/>
    <mergeCell ref="A61:B61"/>
    <mergeCell ref="A62:B62"/>
    <mergeCell ref="A64:B64"/>
    <mergeCell ref="A65:B65"/>
    <mergeCell ref="A66:B66"/>
    <mergeCell ref="A67:B67"/>
    <mergeCell ref="A68:B68"/>
  </mergeCells>
  <hyperlinks>
    <hyperlink ref="A66" r:id="rId1" display="mailto:info@stats.govt.nz"/>
  </hyperlinks>
  <pageMargins left="0.75" right="0.75" top="1" bottom="1" header="0.5" footer="0.5"/>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3"/>
  <sheetViews>
    <sheetView zoomScale="80" zoomScaleNormal="80" workbookViewId="0">
      <pane ySplit="1" topLeftCell="A2" activePane="bottomLeft" state="frozen"/>
      <selection pane="bottomLeft" activeCell="D50" sqref="D50"/>
    </sheetView>
  </sheetViews>
  <sheetFormatPr defaultColWidth="9.125" defaultRowHeight="12.75"/>
  <cols>
    <col min="1" max="1" width="16" style="112" customWidth="1"/>
    <col min="2" max="3" width="50" style="112" customWidth="1"/>
    <col min="4" max="4" width="16" style="112" customWidth="1"/>
    <col min="5" max="16384" width="9.125" style="112"/>
  </cols>
  <sheetData>
    <row r="1" spans="1:4">
      <c r="A1" s="117" t="s">
        <v>1375</v>
      </c>
      <c r="B1" s="117" t="s">
        <v>1374</v>
      </c>
      <c r="C1" s="117" t="s">
        <v>1373</v>
      </c>
      <c r="D1" s="117" t="s">
        <v>1372</v>
      </c>
    </row>
    <row r="2" spans="1:4">
      <c r="A2" s="116">
        <v>1</v>
      </c>
      <c r="B2" s="115" t="s">
        <v>1371</v>
      </c>
      <c r="C2" s="115" t="s">
        <v>81</v>
      </c>
      <c r="D2" s="114">
        <v>19431.058620100001</v>
      </c>
    </row>
    <row r="3" spans="1:4">
      <c r="A3" s="116">
        <v>5</v>
      </c>
      <c r="B3" s="115" t="s">
        <v>1370</v>
      </c>
      <c r="C3" s="115" t="s">
        <v>81</v>
      </c>
      <c r="D3" s="114">
        <v>6718.4376228199999</v>
      </c>
    </row>
    <row r="4" spans="1:4">
      <c r="A4" s="116">
        <v>6</v>
      </c>
      <c r="B4" s="115" t="s">
        <v>1369</v>
      </c>
      <c r="C4" s="115" t="s">
        <v>81</v>
      </c>
      <c r="D4" s="114">
        <v>1339.0408025199999</v>
      </c>
    </row>
    <row r="5" spans="1:4">
      <c r="A5" s="116">
        <v>7</v>
      </c>
      <c r="B5" s="115" t="s">
        <v>1337</v>
      </c>
      <c r="C5" s="115" t="s">
        <v>81</v>
      </c>
      <c r="D5" s="114">
        <v>10085.6050209</v>
      </c>
    </row>
    <row r="6" spans="1:4">
      <c r="A6" s="116">
        <v>10</v>
      </c>
      <c r="B6" s="115" t="s">
        <v>1368</v>
      </c>
      <c r="C6" s="115" t="s">
        <v>81</v>
      </c>
      <c r="D6" s="114">
        <v>64.630160450199995</v>
      </c>
    </row>
    <row r="7" spans="1:4">
      <c r="A7" s="116">
        <v>12</v>
      </c>
      <c r="B7" s="115" t="s">
        <v>1367</v>
      </c>
      <c r="C7" s="115" t="s">
        <v>81</v>
      </c>
      <c r="D7" s="114">
        <v>606.19302660699998</v>
      </c>
    </row>
    <row r="8" spans="1:4">
      <c r="A8" s="116">
        <v>13</v>
      </c>
      <c r="B8" s="115" t="s">
        <v>1366</v>
      </c>
      <c r="C8" s="115" t="s">
        <v>81</v>
      </c>
      <c r="D8" s="114">
        <v>149.28143066199999</v>
      </c>
    </row>
    <row r="9" spans="1:4">
      <c r="A9" s="116">
        <v>14</v>
      </c>
      <c r="B9" s="115" t="s">
        <v>1365</v>
      </c>
      <c r="C9" s="115" t="s">
        <v>81</v>
      </c>
      <c r="D9" s="114">
        <v>302.53871393899999</v>
      </c>
    </row>
    <row r="10" spans="1:4">
      <c r="A10" s="116">
        <v>15</v>
      </c>
      <c r="B10" s="115" t="s">
        <v>1364</v>
      </c>
      <c r="C10" s="115" t="s">
        <v>81</v>
      </c>
      <c r="D10" s="114">
        <v>390.730059283</v>
      </c>
    </row>
    <row r="11" spans="1:4">
      <c r="A11" s="116">
        <v>18</v>
      </c>
      <c r="B11" s="115" t="s">
        <v>1345</v>
      </c>
      <c r="C11" s="115" t="s">
        <v>81</v>
      </c>
      <c r="D11" s="114">
        <v>1317.15596439</v>
      </c>
    </row>
    <row r="12" spans="1:4">
      <c r="A12" s="116">
        <v>20</v>
      </c>
      <c r="B12" s="115" t="s">
        <v>1363</v>
      </c>
      <c r="C12" s="115" t="s">
        <v>81</v>
      </c>
      <c r="D12" s="114">
        <v>120.28168761800001</v>
      </c>
    </row>
    <row r="13" spans="1:4">
      <c r="A13" s="116">
        <v>21</v>
      </c>
      <c r="B13" s="115" t="s">
        <v>1362</v>
      </c>
      <c r="C13" s="115" t="s">
        <v>81</v>
      </c>
      <c r="D13" s="114">
        <v>280.14840249299999</v>
      </c>
    </row>
    <row r="14" spans="1:4">
      <c r="A14" s="116">
        <v>22</v>
      </c>
      <c r="B14" s="115" t="s">
        <v>1361</v>
      </c>
      <c r="C14" s="115" t="s">
        <v>81</v>
      </c>
      <c r="D14" s="114">
        <v>2825.3733633299998</v>
      </c>
    </row>
    <row r="15" spans="1:4">
      <c r="A15" s="116">
        <v>23</v>
      </c>
      <c r="B15" s="115" t="s">
        <v>1360</v>
      </c>
      <c r="C15" s="115" t="s">
        <v>81</v>
      </c>
      <c r="D15" s="114">
        <v>349.12062957500001</v>
      </c>
    </row>
    <row r="16" spans="1:4">
      <c r="A16" s="116">
        <v>24</v>
      </c>
      <c r="B16" s="115" t="s">
        <v>1359</v>
      </c>
      <c r="C16" s="115" t="s">
        <v>81</v>
      </c>
      <c r="D16" s="114">
        <v>61.096743488500003</v>
      </c>
    </row>
    <row r="17" spans="1:4">
      <c r="A17" s="116">
        <v>25</v>
      </c>
      <c r="B17" s="115" t="s">
        <v>1358</v>
      </c>
      <c r="C17" s="115" t="s">
        <v>81</v>
      </c>
      <c r="D17" s="114">
        <v>216.026076827</v>
      </c>
    </row>
    <row r="18" spans="1:4">
      <c r="A18" s="116">
        <v>26</v>
      </c>
      <c r="B18" s="115" t="s">
        <v>1357</v>
      </c>
      <c r="C18" s="115" t="s">
        <v>81</v>
      </c>
      <c r="D18" s="114">
        <v>981.85774447999995</v>
      </c>
    </row>
    <row r="19" spans="1:4">
      <c r="A19" s="116">
        <v>27</v>
      </c>
      <c r="B19" s="115" t="s">
        <v>1356</v>
      </c>
      <c r="C19" s="115" t="s">
        <v>81</v>
      </c>
      <c r="D19" s="114">
        <v>368.19078628599999</v>
      </c>
    </row>
    <row r="20" spans="1:4">
      <c r="A20" s="116">
        <v>28</v>
      </c>
      <c r="B20" s="115" t="s">
        <v>1355</v>
      </c>
      <c r="C20" s="115" t="s">
        <v>81</v>
      </c>
      <c r="D20" s="114">
        <v>182.17371674</v>
      </c>
    </row>
    <row r="21" spans="1:4">
      <c r="A21" s="116">
        <v>29</v>
      </c>
      <c r="B21" s="115" t="s">
        <v>1354</v>
      </c>
      <c r="C21" s="115" t="s">
        <v>81</v>
      </c>
      <c r="D21" s="114">
        <v>200.59582992099999</v>
      </c>
    </row>
    <row r="22" spans="1:4">
      <c r="A22" s="116">
        <v>30</v>
      </c>
      <c r="B22" s="115" t="s">
        <v>1353</v>
      </c>
      <c r="C22" s="115" t="s">
        <v>81</v>
      </c>
      <c r="D22" s="114">
        <v>92.279498767199996</v>
      </c>
    </row>
    <row r="23" spans="1:4">
      <c r="A23" s="116">
        <v>31</v>
      </c>
      <c r="B23" s="115" t="s">
        <v>1352</v>
      </c>
      <c r="C23" s="115" t="s">
        <v>81</v>
      </c>
      <c r="D23" s="114">
        <v>224.709003088</v>
      </c>
    </row>
    <row r="24" spans="1:4">
      <c r="A24" s="116">
        <v>32</v>
      </c>
      <c r="B24" s="115" t="s">
        <v>1351</v>
      </c>
      <c r="C24" s="115" t="s">
        <v>81</v>
      </c>
      <c r="D24" s="114">
        <v>121.716247529</v>
      </c>
    </row>
    <row r="25" spans="1:4">
      <c r="A25" s="116">
        <v>33</v>
      </c>
      <c r="B25" s="115" t="s">
        <v>1350</v>
      </c>
      <c r="C25" s="115" t="s">
        <v>81</v>
      </c>
      <c r="D25" s="114">
        <v>103.921048816</v>
      </c>
    </row>
    <row r="26" spans="1:4">
      <c r="A26" s="116">
        <v>35</v>
      </c>
      <c r="B26" s="115" t="s">
        <v>1333</v>
      </c>
      <c r="C26" s="115" t="s">
        <v>81</v>
      </c>
      <c r="D26" s="114">
        <v>3.7699001169800002</v>
      </c>
    </row>
    <row r="27" spans="1:4">
      <c r="A27" s="116">
        <v>36</v>
      </c>
      <c r="B27" s="115" t="s">
        <v>1349</v>
      </c>
      <c r="C27" s="115" t="s">
        <v>81</v>
      </c>
      <c r="D27" s="114">
        <v>137.09246109099999</v>
      </c>
    </row>
    <row r="28" spans="1:4">
      <c r="A28" s="116">
        <v>37</v>
      </c>
      <c r="B28" s="115" t="s">
        <v>1348</v>
      </c>
      <c r="C28" s="115" t="s">
        <v>81</v>
      </c>
      <c r="D28" s="114">
        <v>11.7479217772</v>
      </c>
    </row>
    <row r="29" spans="1:4">
      <c r="A29" s="116">
        <v>44</v>
      </c>
      <c r="B29" s="115" t="s">
        <v>1347</v>
      </c>
      <c r="C29" s="115" t="s">
        <v>81</v>
      </c>
      <c r="D29" s="114">
        <v>163.157318307</v>
      </c>
    </row>
    <row r="30" spans="1:4">
      <c r="A30" s="116">
        <v>46</v>
      </c>
      <c r="B30" s="115" t="s">
        <v>1346</v>
      </c>
      <c r="C30" s="115" t="s">
        <v>81</v>
      </c>
      <c r="D30" s="114">
        <v>24.007871640499999</v>
      </c>
    </row>
    <row r="31" spans="1:4">
      <c r="A31" s="116">
        <v>2</v>
      </c>
      <c r="B31" s="115" t="s">
        <v>1345</v>
      </c>
      <c r="C31" s="115" t="s">
        <v>1334</v>
      </c>
      <c r="D31" s="114">
        <v>6619.1058310400003</v>
      </c>
    </row>
    <row r="32" spans="1:4">
      <c r="A32" s="116">
        <v>3</v>
      </c>
      <c r="B32" s="115" t="s">
        <v>1344</v>
      </c>
      <c r="C32" s="115" t="s">
        <v>1334</v>
      </c>
      <c r="D32" s="114">
        <v>476.54610800699999</v>
      </c>
    </row>
    <row r="33" spans="1:4">
      <c r="A33" s="116">
        <v>4</v>
      </c>
      <c r="B33" s="115" t="s">
        <v>1343</v>
      </c>
      <c r="C33" s="115" t="s">
        <v>1334</v>
      </c>
      <c r="D33" s="114">
        <v>286.83532542699999</v>
      </c>
    </row>
    <row r="34" spans="1:4">
      <c r="A34" s="116">
        <v>8</v>
      </c>
      <c r="B34" s="115" t="s">
        <v>1342</v>
      </c>
      <c r="C34" s="115" t="s">
        <v>1334</v>
      </c>
      <c r="D34" s="114">
        <v>2534.81443184</v>
      </c>
    </row>
    <row r="35" spans="1:4">
      <c r="A35" s="116">
        <v>9</v>
      </c>
      <c r="B35" s="115" t="s">
        <v>1341</v>
      </c>
      <c r="C35" s="115" t="s">
        <v>1334</v>
      </c>
      <c r="D35" s="114">
        <v>894.05359909000003</v>
      </c>
    </row>
    <row r="36" spans="1:4">
      <c r="A36" s="116">
        <v>11</v>
      </c>
      <c r="B36" s="115" t="s">
        <v>1340</v>
      </c>
      <c r="C36" s="115" t="s">
        <v>1334</v>
      </c>
      <c r="D36" s="114">
        <v>86.907646675500004</v>
      </c>
    </row>
    <row r="37" spans="1:4">
      <c r="A37" s="116">
        <v>16</v>
      </c>
      <c r="B37" s="115" t="s">
        <v>1339</v>
      </c>
      <c r="C37" s="115" t="s">
        <v>1334</v>
      </c>
      <c r="D37" s="114">
        <v>3018.08795534</v>
      </c>
    </row>
    <row r="38" spans="1:4">
      <c r="A38" s="116">
        <v>17</v>
      </c>
      <c r="B38" s="115" t="s">
        <v>1338</v>
      </c>
      <c r="C38" s="115" t="s">
        <v>1334</v>
      </c>
      <c r="D38" s="114">
        <v>3846.7403958300001</v>
      </c>
    </row>
    <row r="39" spans="1:4">
      <c r="A39" s="116">
        <v>19</v>
      </c>
      <c r="B39" s="115" t="s">
        <v>1337</v>
      </c>
      <c r="C39" s="115" t="s">
        <v>1334</v>
      </c>
      <c r="D39" s="114">
        <v>95.359388958699995</v>
      </c>
    </row>
    <row r="40" spans="1:4">
      <c r="A40" s="116">
        <v>42</v>
      </c>
      <c r="B40" s="115" t="s">
        <v>1336</v>
      </c>
      <c r="C40" s="115" t="s">
        <v>1334</v>
      </c>
      <c r="D40" s="114">
        <v>4.97460708878</v>
      </c>
    </row>
    <row r="41" spans="1:4">
      <c r="A41" s="116">
        <v>43</v>
      </c>
      <c r="B41" s="115" t="s">
        <v>1335</v>
      </c>
      <c r="C41" s="115" t="s">
        <v>1334</v>
      </c>
      <c r="D41" s="114">
        <v>1115.2045553600001</v>
      </c>
    </row>
    <row r="42" spans="1:4">
      <c r="A42" s="116">
        <v>34</v>
      </c>
      <c r="B42" s="115" t="s">
        <v>1333</v>
      </c>
      <c r="C42" s="115" t="s">
        <v>1327</v>
      </c>
      <c r="D42" s="114">
        <v>8.81865701039E-5</v>
      </c>
    </row>
    <row r="43" spans="1:4">
      <c r="A43" s="116">
        <v>38</v>
      </c>
      <c r="B43" s="115" t="s">
        <v>1332</v>
      </c>
      <c r="C43" s="115" t="s">
        <v>1327</v>
      </c>
      <c r="D43" s="114">
        <v>1380.8109149700001</v>
      </c>
    </row>
    <row r="44" spans="1:4">
      <c r="A44" s="116">
        <v>39</v>
      </c>
      <c r="B44" s="115" t="s">
        <v>1331</v>
      </c>
      <c r="C44" s="115" t="s">
        <v>1327</v>
      </c>
      <c r="D44" s="114">
        <v>1947.02761343</v>
      </c>
    </row>
    <row r="45" spans="1:4">
      <c r="A45" s="116">
        <v>40</v>
      </c>
      <c r="B45" s="115" t="s">
        <v>1330</v>
      </c>
      <c r="C45" s="115" t="s">
        <v>1327</v>
      </c>
      <c r="D45" s="114">
        <v>3945.4238048299999</v>
      </c>
    </row>
    <row r="46" spans="1:4">
      <c r="A46" s="116">
        <v>41</v>
      </c>
      <c r="B46" s="115" t="s">
        <v>1329</v>
      </c>
      <c r="C46" s="115" t="s">
        <v>1327</v>
      </c>
      <c r="D46" s="114">
        <v>742.82277094599999</v>
      </c>
    </row>
    <row r="47" spans="1:4">
      <c r="A47" s="116">
        <v>45</v>
      </c>
      <c r="B47" s="115" t="s">
        <v>1328</v>
      </c>
      <c r="C47" s="115" t="s">
        <v>1327</v>
      </c>
      <c r="D47" s="114">
        <v>2960.2102290900002</v>
      </c>
    </row>
    <row r="48" spans="1:4">
      <c r="D48" s="113">
        <f>SUM(D2:D47)</f>
        <v>76826.862939672137</v>
      </c>
    </row>
    <row r="50" spans="2:4">
      <c r="B50" s="112" t="s">
        <v>1376</v>
      </c>
      <c r="C50" s="112" t="s">
        <v>81</v>
      </c>
      <c r="D50" s="113">
        <f>SUM(D2:D30)</f>
        <v>46871.937673562599</v>
      </c>
    </row>
    <row r="51" spans="2:4">
      <c r="C51" s="112" t="s">
        <v>1327</v>
      </c>
      <c r="D51" s="113">
        <f>SUM(D42:D47)</f>
        <v>10976.295421452571</v>
      </c>
    </row>
    <row r="52" spans="2:4">
      <c r="C52" s="112" t="s">
        <v>1334</v>
      </c>
      <c r="D52" s="113">
        <f>SUM(D31:D41)</f>
        <v>18978.629844656978</v>
      </c>
    </row>
    <row r="53" spans="2:4">
      <c r="D53" s="113">
        <f>SUM(D50:D52)</f>
        <v>76826.862939672137</v>
      </c>
    </row>
  </sheetData>
  <sheetProtection algorithmName="SHA-512" hashValue="1ycXx/QegSHJVd4X9zzuPNyd0u7RbYWlSTpFKxuu8d6qfZ2HNc18C9PuQTotDIf9XLJsvK0xv7WMisssDdiayA==" saltValue="GhmJiUcT6PGisK/COWAjjQ==" spinCount="100000" sheet="1" objects="1" scenarios="1"/>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62"/>
  <sheetViews>
    <sheetView zoomScale="70" zoomScaleNormal="70" workbookViewId="0">
      <pane ySplit="1" topLeftCell="A2" activePane="bottomLeft" state="frozen"/>
      <selection pane="bottomLeft" activeCell="E58" sqref="E58"/>
    </sheetView>
  </sheetViews>
  <sheetFormatPr defaultColWidth="9.125" defaultRowHeight="12.75"/>
  <cols>
    <col min="1" max="1" width="16" style="112" customWidth="1"/>
    <col min="2" max="4" width="50" style="112" customWidth="1"/>
    <col min="5" max="5" width="16" style="112" customWidth="1"/>
    <col min="6" max="16384" width="9.125" style="112"/>
  </cols>
  <sheetData>
    <row r="1" spans="1:5">
      <c r="A1" s="117" t="s">
        <v>1429</v>
      </c>
      <c r="B1" s="117" t="s">
        <v>1374</v>
      </c>
      <c r="C1" s="117" t="s">
        <v>1373</v>
      </c>
      <c r="D1" s="117" t="s">
        <v>1428</v>
      </c>
      <c r="E1" s="117" t="s">
        <v>1372</v>
      </c>
    </row>
    <row r="2" spans="1:5">
      <c r="A2" s="116">
        <v>0</v>
      </c>
      <c r="B2" s="115" t="s">
        <v>1412</v>
      </c>
      <c r="C2" s="115" t="s">
        <v>81</v>
      </c>
      <c r="D2" s="115" t="s">
        <v>1379</v>
      </c>
      <c r="E2" s="114">
        <v>1749.4902516300001</v>
      </c>
    </row>
    <row r="3" spans="1:5">
      <c r="A3" s="116">
        <v>1</v>
      </c>
      <c r="B3" s="115" t="s">
        <v>1389</v>
      </c>
      <c r="C3" s="115" t="s">
        <v>81</v>
      </c>
      <c r="D3" s="115" t="s">
        <v>1379</v>
      </c>
      <c r="E3" s="114">
        <v>3626.9507031600001</v>
      </c>
    </row>
    <row r="4" spans="1:5">
      <c r="A4" s="116">
        <v>2</v>
      </c>
      <c r="B4" s="115" t="s">
        <v>1427</v>
      </c>
      <c r="C4" s="115" t="s">
        <v>81</v>
      </c>
      <c r="D4" s="115" t="s">
        <v>1379</v>
      </c>
      <c r="E4" s="114">
        <v>7923.4902435900003</v>
      </c>
    </row>
    <row r="5" spans="1:5">
      <c r="A5" s="116">
        <v>3</v>
      </c>
      <c r="B5" s="115" t="s">
        <v>1396</v>
      </c>
      <c r="C5" s="115" t="s">
        <v>81</v>
      </c>
      <c r="D5" s="115" t="s">
        <v>1379</v>
      </c>
      <c r="E5" s="114">
        <v>479.550362495</v>
      </c>
    </row>
    <row r="6" spans="1:5">
      <c r="A6" s="116">
        <v>4</v>
      </c>
      <c r="B6" s="115" t="s">
        <v>1397</v>
      </c>
      <c r="C6" s="115" t="s">
        <v>81</v>
      </c>
      <c r="D6" s="115" t="s">
        <v>1379</v>
      </c>
      <c r="E6" s="114">
        <v>344.44003675599998</v>
      </c>
    </row>
    <row r="7" spans="1:5">
      <c r="A7" s="116">
        <v>5</v>
      </c>
      <c r="B7" s="115" t="s">
        <v>1426</v>
      </c>
      <c r="C7" s="115" t="s">
        <v>81</v>
      </c>
      <c r="D7" s="115" t="s">
        <v>1423</v>
      </c>
      <c r="E7" s="114">
        <v>3564.5369238200001</v>
      </c>
    </row>
    <row r="8" spans="1:5">
      <c r="A8" s="116">
        <v>6</v>
      </c>
      <c r="B8" s="115" t="s">
        <v>1425</v>
      </c>
      <c r="C8" s="115" t="s">
        <v>81</v>
      </c>
      <c r="D8" s="115" t="s">
        <v>1423</v>
      </c>
      <c r="E8" s="114">
        <v>515.25830258799999</v>
      </c>
    </row>
    <row r="9" spans="1:5">
      <c r="A9" s="116">
        <v>7</v>
      </c>
      <c r="B9" s="115" t="s">
        <v>1424</v>
      </c>
      <c r="C9" s="115" t="s">
        <v>81</v>
      </c>
      <c r="D9" s="115" t="s">
        <v>1423</v>
      </c>
      <c r="E9" s="114">
        <v>2546.0544078500002</v>
      </c>
    </row>
    <row r="10" spans="1:5">
      <c r="A10" s="116">
        <v>8</v>
      </c>
      <c r="B10" s="115" t="s">
        <v>1422</v>
      </c>
      <c r="C10" s="115" t="s">
        <v>81</v>
      </c>
      <c r="D10" s="115" t="s">
        <v>1379</v>
      </c>
      <c r="E10" s="114">
        <v>18863.085626200002</v>
      </c>
    </row>
    <row r="11" spans="1:5">
      <c r="A11" s="116">
        <v>9</v>
      </c>
      <c r="B11" s="115" t="s">
        <v>1421</v>
      </c>
      <c r="C11" s="115" t="s">
        <v>81</v>
      </c>
      <c r="D11" s="115" t="s">
        <v>1379</v>
      </c>
      <c r="E11" s="114">
        <v>5591.8265082600001</v>
      </c>
    </row>
    <row r="12" spans="1:5">
      <c r="A12" s="116">
        <v>10</v>
      </c>
      <c r="B12" s="115" t="s">
        <v>1420</v>
      </c>
      <c r="C12" s="115" t="s">
        <v>81</v>
      </c>
      <c r="D12" s="115" t="s">
        <v>1379</v>
      </c>
      <c r="E12" s="114">
        <v>216.199879334</v>
      </c>
    </row>
    <row r="13" spans="1:5">
      <c r="A13" s="116">
        <v>11</v>
      </c>
      <c r="B13" s="115" t="s">
        <v>1419</v>
      </c>
      <c r="C13" s="115" t="s">
        <v>81</v>
      </c>
      <c r="D13" s="115" t="s">
        <v>1379</v>
      </c>
      <c r="E13" s="114">
        <v>5521.3450978999999</v>
      </c>
    </row>
    <row r="14" spans="1:5">
      <c r="A14" s="116">
        <v>12</v>
      </c>
      <c r="B14" s="115" t="s">
        <v>1418</v>
      </c>
      <c r="C14" s="115" t="s">
        <v>81</v>
      </c>
      <c r="D14" s="115" t="s">
        <v>1379</v>
      </c>
      <c r="E14" s="114">
        <v>4012.3999554500001</v>
      </c>
    </row>
    <row r="15" spans="1:5">
      <c r="A15" s="116">
        <v>13</v>
      </c>
      <c r="B15" s="115" t="s">
        <v>1417</v>
      </c>
      <c r="C15" s="115" t="s">
        <v>81</v>
      </c>
      <c r="D15" s="115" t="s">
        <v>1379</v>
      </c>
      <c r="E15" s="114">
        <v>4743.5456585900001</v>
      </c>
    </row>
    <row r="16" spans="1:5">
      <c r="A16" s="116">
        <v>14</v>
      </c>
      <c r="B16" s="115" t="s">
        <v>1416</v>
      </c>
      <c r="C16" s="115" t="s">
        <v>81</v>
      </c>
      <c r="D16" s="115" t="s">
        <v>1379</v>
      </c>
      <c r="E16" s="114">
        <v>4234.2880488299998</v>
      </c>
    </row>
    <row r="17" spans="1:5">
      <c r="A17" s="116">
        <v>15</v>
      </c>
      <c r="B17" s="115" t="s">
        <v>1415</v>
      </c>
      <c r="C17" s="115" t="s">
        <v>81</v>
      </c>
      <c r="D17" s="115" t="s">
        <v>1379</v>
      </c>
      <c r="E17" s="114">
        <v>3700.9223843599998</v>
      </c>
    </row>
    <row r="18" spans="1:5">
      <c r="A18" s="116">
        <v>16</v>
      </c>
      <c r="B18" s="115" t="s">
        <v>1414</v>
      </c>
      <c r="C18" s="115" t="s">
        <v>81</v>
      </c>
      <c r="D18" s="115" t="s">
        <v>1379</v>
      </c>
      <c r="E18" s="114">
        <v>5018.8786172199998</v>
      </c>
    </row>
    <row r="19" spans="1:5">
      <c r="A19" s="116">
        <v>17</v>
      </c>
      <c r="B19" s="115" t="s">
        <v>1413</v>
      </c>
      <c r="C19" s="115" t="s">
        <v>81</v>
      </c>
      <c r="D19" s="115" t="s">
        <v>1180</v>
      </c>
      <c r="E19" s="114">
        <v>1052.2661310399999</v>
      </c>
    </row>
    <row r="20" spans="1:5">
      <c r="A20" s="116">
        <v>18</v>
      </c>
      <c r="B20" s="115" t="s">
        <v>1412</v>
      </c>
      <c r="C20" s="115" t="s">
        <v>81</v>
      </c>
      <c r="D20" s="115" t="s">
        <v>1180</v>
      </c>
      <c r="E20" s="114">
        <v>1411.6048729900001</v>
      </c>
    </row>
    <row r="21" spans="1:5">
      <c r="A21" s="116">
        <v>19</v>
      </c>
      <c r="B21" s="115" t="s">
        <v>1411</v>
      </c>
      <c r="C21" s="115" t="s">
        <v>81</v>
      </c>
      <c r="D21" s="115" t="s">
        <v>1180</v>
      </c>
      <c r="E21" s="114">
        <v>490.04312642299999</v>
      </c>
    </row>
    <row r="22" spans="1:5">
      <c r="A22" s="116">
        <v>20</v>
      </c>
      <c r="B22" s="115" t="s">
        <v>1410</v>
      </c>
      <c r="C22" s="115" t="s">
        <v>81</v>
      </c>
      <c r="D22" s="115" t="s">
        <v>1180</v>
      </c>
      <c r="E22" s="114">
        <v>6957.7600264000002</v>
      </c>
    </row>
    <row r="23" spans="1:5">
      <c r="A23" s="116">
        <v>21</v>
      </c>
      <c r="B23" s="115" t="s">
        <v>1409</v>
      </c>
      <c r="C23" s="115" t="s">
        <v>81</v>
      </c>
      <c r="D23" s="115" t="s">
        <v>1180</v>
      </c>
      <c r="E23" s="114">
        <v>5139.5143325299996</v>
      </c>
    </row>
    <row r="24" spans="1:5">
      <c r="A24" s="116">
        <v>22</v>
      </c>
      <c r="B24" s="115" t="s">
        <v>1408</v>
      </c>
      <c r="C24" s="115" t="s">
        <v>81</v>
      </c>
      <c r="D24" s="115" t="s">
        <v>1180</v>
      </c>
      <c r="E24" s="114">
        <v>6106.42044016</v>
      </c>
    </row>
    <row r="25" spans="1:5">
      <c r="A25" s="116">
        <v>23</v>
      </c>
      <c r="B25" s="115" t="s">
        <v>1407</v>
      </c>
      <c r="C25" s="115" t="s">
        <v>81</v>
      </c>
      <c r="D25" s="115" t="s">
        <v>1180</v>
      </c>
      <c r="E25" s="114">
        <v>9058.5627735399994</v>
      </c>
    </row>
    <row r="26" spans="1:5">
      <c r="A26" s="116">
        <v>24</v>
      </c>
      <c r="B26" s="115" t="s">
        <v>1406</v>
      </c>
      <c r="C26" s="115" t="s">
        <v>81</v>
      </c>
      <c r="D26" s="115" t="s">
        <v>1398</v>
      </c>
      <c r="E26" s="114">
        <v>1488.68653395</v>
      </c>
    </row>
    <row r="27" spans="1:5">
      <c r="A27" s="116">
        <v>25</v>
      </c>
      <c r="B27" s="115" t="s">
        <v>1405</v>
      </c>
      <c r="C27" s="115" t="s">
        <v>81</v>
      </c>
      <c r="D27" s="115" t="s">
        <v>1180</v>
      </c>
      <c r="E27" s="114">
        <v>21586.852343899998</v>
      </c>
    </row>
    <row r="28" spans="1:5">
      <c r="A28" s="116">
        <v>26</v>
      </c>
      <c r="B28" s="115" t="s">
        <v>1404</v>
      </c>
      <c r="C28" s="115" t="s">
        <v>81</v>
      </c>
      <c r="D28" s="115" t="s">
        <v>1180</v>
      </c>
      <c r="E28" s="114">
        <v>68.780007847899995</v>
      </c>
    </row>
    <row r="29" spans="1:5">
      <c r="A29" s="116">
        <v>27</v>
      </c>
      <c r="B29" s="115" t="s">
        <v>1403</v>
      </c>
      <c r="C29" s="115" t="s">
        <v>81</v>
      </c>
      <c r="D29" s="115" t="s">
        <v>1180</v>
      </c>
      <c r="E29" s="114">
        <v>3959.4134584100002</v>
      </c>
    </row>
    <row r="30" spans="1:5">
      <c r="A30" s="116">
        <v>28</v>
      </c>
      <c r="B30" s="115" t="s">
        <v>1402</v>
      </c>
      <c r="C30" s="115" t="s">
        <v>1391</v>
      </c>
      <c r="D30" s="115" t="s">
        <v>1401</v>
      </c>
      <c r="E30" s="114">
        <v>1952.53181958</v>
      </c>
    </row>
    <row r="31" spans="1:5">
      <c r="A31" s="116">
        <v>29</v>
      </c>
      <c r="B31" s="115" t="s">
        <v>1400</v>
      </c>
      <c r="C31" s="115" t="s">
        <v>81</v>
      </c>
      <c r="D31" s="115" t="s">
        <v>1180</v>
      </c>
      <c r="E31" s="114">
        <v>16835.788420500001</v>
      </c>
    </row>
    <row r="32" spans="1:5">
      <c r="A32" s="116">
        <v>30</v>
      </c>
      <c r="B32" s="115" t="s">
        <v>1399</v>
      </c>
      <c r="C32" s="115" t="s">
        <v>81</v>
      </c>
      <c r="D32" s="115" t="s">
        <v>1398</v>
      </c>
      <c r="E32" s="114">
        <v>7052.9287778099997</v>
      </c>
    </row>
    <row r="33" spans="1:5">
      <c r="A33" s="116">
        <v>31</v>
      </c>
      <c r="B33" s="115" t="s">
        <v>1397</v>
      </c>
      <c r="C33" s="115" t="s">
        <v>81</v>
      </c>
      <c r="D33" s="115" t="s">
        <v>1180</v>
      </c>
      <c r="E33" s="114">
        <v>19.527908217099998</v>
      </c>
    </row>
    <row r="34" spans="1:5">
      <c r="A34" s="116">
        <v>32</v>
      </c>
      <c r="B34" s="115" t="s">
        <v>1396</v>
      </c>
      <c r="C34" s="115" t="s">
        <v>81</v>
      </c>
      <c r="D34" s="115" t="s">
        <v>1180</v>
      </c>
      <c r="E34" s="114">
        <v>18.138163024400001</v>
      </c>
    </row>
    <row r="35" spans="1:5">
      <c r="A35" s="116">
        <v>33</v>
      </c>
      <c r="B35" s="115" t="s">
        <v>1395</v>
      </c>
      <c r="C35" s="115" t="s">
        <v>81</v>
      </c>
      <c r="D35" s="115" t="s">
        <v>1394</v>
      </c>
      <c r="E35" s="114">
        <v>257186.45878799999</v>
      </c>
    </row>
    <row r="36" spans="1:5">
      <c r="A36" s="116">
        <v>34</v>
      </c>
      <c r="B36" s="115" t="s">
        <v>1393</v>
      </c>
      <c r="C36" s="115" t="s">
        <v>1391</v>
      </c>
      <c r="D36" s="115" t="s">
        <v>1180</v>
      </c>
      <c r="E36" s="114">
        <v>84.867004908699997</v>
      </c>
    </row>
    <row r="37" spans="1:5">
      <c r="A37" s="116">
        <v>35</v>
      </c>
      <c r="B37" s="115" t="s">
        <v>1392</v>
      </c>
      <c r="C37" s="115" t="s">
        <v>1391</v>
      </c>
      <c r="D37" s="115" t="s">
        <v>1379</v>
      </c>
      <c r="E37" s="114">
        <v>127.086129489</v>
      </c>
    </row>
    <row r="38" spans="1:5">
      <c r="A38" s="116">
        <v>36</v>
      </c>
      <c r="B38" s="115" t="s">
        <v>1377</v>
      </c>
      <c r="C38" s="115" t="s">
        <v>81</v>
      </c>
      <c r="D38" s="115" t="s">
        <v>1180</v>
      </c>
      <c r="E38" s="114">
        <v>4223.3042203499999</v>
      </c>
    </row>
    <row r="39" spans="1:5">
      <c r="A39" s="116">
        <v>37</v>
      </c>
      <c r="B39" s="115" t="s">
        <v>1390</v>
      </c>
      <c r="C39" s="115" t="s">
        <v>81</v>
      </c>
      <c r="D39" s="115" t="s">
        <v>1379</v>
      </c>
      <c r="E39" s="114">
        <v>5500.3376695500001</v>
      </c>
    </row>
    <row r="40" spans="1:5">
      <c r="A40" s="116">
        <v>38</v>
      </c>
      <c r="B40" s="115" t="s">
        <v>1389</v>
      </c>
      <c r="C40" s="115" t="s">
        <v>81</v>
      </c>
      <c r="D40" s="115" t="s">
        <v>1180</v>
      </c>
      <c r="E40" s="114">
        <v>1443.31542309</v>
      </c>
    </row>
    <row r="41" spans="1:5">
      <c r="A41" s="116">
        <v>39</v>
      </c>
      <c r="B41" s="115" t="s">
        <v>1388</v>
      </c>
      <c r="C41" s="115" t="s">
        <v>81</v>
      </c>
      <c r="D41" s="115" t="s">
        <v>1180</v>
      </c>
      <c r="E41" s="114">
        <v>5149.4403594599999</v>
      </c>
    </row>
    <row r="42" spans="1:5">
      <c r="A42" s="116">
        <v>40</v>
      </c>
      <c r="B42" s="115" t="s">
        <v>1387</v>
      </c>
      <c r="C42" s="115" t="s">
        <v>81</v>
      </c>
      <c r="D42" s="115" t="s">
        <v>1379</v>
      </c>
      <c r="E42" s="114">
        <v>14820.0920226</v>
      </c>
    </row>
    <row r="43" spans="1:5">
      <c r="A43" s="116">
        <v>41</v>
      </c>
      <c r="B43" s="115" t="s">
        <v>1386</v>
      </c>
      <c r="C43" s="115" t="s">
        <v>81</v>
      </c>
      <c r="D43" s="115" t="s">
        <v>1180</v>
      </c>
      <c r="E43" s="114">
        <v>7449.1276212399998</v>
      </c>
    </row>
    <row r="44" spans="1:5">
      <c r="A44" s="116">
        <v>42</v>
      </c>
      <c r="B44" s="115" t="s">
        <v>1385</v>
      </c>
      <c r="C44" s="115" t="s">
        <v>81</v>
      </c>
      <c r="D44" s="115" t="s">
        <v>1180</v>
      </c>
      <c r="E44" s="114">
        <v>372.701597736</v>
      </c>
    </row>
    <row r="45" spans="1:5">
      <c r="A45" s="116">
        <v>43</v>
      </c>
      <c r="B45" s="115" t="s">
        <v>1384</v>
      </c>
      <c r="C45" s="115" t="s">
        <v>81</v>
      </c>
      <c r="D45" s="115" t="s">
        <v>1379</v>
      </c>
      <c r="E45" s="114">
        <v>807.700255363</v>
      </c>
    </row>
    <row r="46" spans="1:5">
      <c r="A46" s="116">
        <v>44</v>
      </c>
      <c r="B46" s="115" t="s">
        <v>1383</v>
      </c>
      <c r="C46" s="115" t="s">
        <v>81</v>
      </c>
      <c r="D46" s="115" t="s">
        <v>1379</v>
      </c>
      <c r="E46" s="114">
        <v>13475.264164099999</v>
      </c>
    </row>
    <row r="47" spans="1:5">
      <c r="A47" s="116">
        <v>45</v>
      </c>
      <c r="B47" s="115" t="s">
        <v>1382</v>
      </c>
      <c r="C47" s="115" t="s">
        <v>81</v>
      </c>
      <c r="D47" s="115" t="s">
        <v>1180</v>
      </c>
      <c r="E47" s="114">
        <v>251.06746769899999</v>
      </c>
    </row>
    <row r="48" spans="1:5">
      <c r="A48" s="116">
        <v>46</v>
      </c>
      <c r="B48" s="115" t="s">
        <v>1381</v>
      </c>
      <c r="C48" s="115" t="s">
        <v>81</v>
      </c>
      <c r="D48" s="115" t="s">
        <v>1379</v>
      </c>
      <c r="E48" s="114">
        <v>4180.6142163499999</v>
      </c>
    </row>
    <row r="49" spans="1:5">
      <c r="A49" s="116">
        <v>47</v>
      </c>
      <c r="B49" s="115" t="s">
        <v>1380</v>
      </c>
      <c r="C49" s="115" t="s">
        <v>81</v>
      </c>
      <c r="D49" s="115" t="s">
        <v>1379</v>
      </c>
      <c r="E49" s="114">
        <v>1061.43064989</v>
      </c>
    </row>
    <row r="50" spans="1:5">
      <c r="A50" s="116">
        <v>48</v>
      </c>
      <c r="B50" s="115" t="s">
        <v>1378</v>
      </c>
      <c r="C50" s="115" t="s">
        <v>81</v>
      </c>
      <c r="D50" s="115" t="s">
        <v>1180</v>
      </c>
      <c r="E50" s="114">
        <v>4531.4218167600002</v>
      </c>
    </row>
    <row r="51" spans="1:5">
      <c r="A51" s="116">
        <v>49</v>
      </c>
      <c r="B51" s="115" t="s">
        <v>1377</v>
      </c>
      <c r="C51" s="115" t="s">
        <v>81</v>
      </c>
      <c r="D51" s="115" t="s">
        <v>1180</v>
      </c>
      <c r="E51" s="114">
        <v>7.7704085335700004</v>
      </c>
    </row>
    <row r="53" spans="1:5">
      <c r="E53" s="113">
        <f>SUM(E2:E51)</f>
        <v>476523.08195947466</v>
      </c>
    </row>
    <row r="54" spans="1:5">
      <c r="E54" s="113">
        <f>E53-E35</f>
        <v>219336.62317147467</v>
      </c>
    </row>
    <row r="55" spans="1:5">
      <c r="E55" s="113">
        <f>SUM(E7:E9)</f>
        <v>6625.8496342580002</v>
      </c>
    </row>
    <row r="56" spans="1:5">
      <c r="E56" s="113">
        <f>E54-E55</f>
        <v>212710.77353721668</v>
      </c>
    </row>
    <row r="57" spans="1:5">
      <c r="E57" s="113">
        <v>29834</v>
      </c>
    </row>
    <row r="58" spans="1:5">
      <c r="E58" s="113">
        <f>E56+E57</f>
        <v>242544.77353721668</v>
      </c>
    </row>
    <row r="59" spans="1:5">
      <c r="A59" s="124" t="s">
        <v>1442</v>
      </c>
    </row>
    <row r="60" spans="1:5">
      <c r="A60" s="112" t="s">
        <v>1440</v>
      </c>
    </row>
    <row r="61" spans="1:5">
      <c r="A61" s="112" t="s">
        <v>1441</v>
      </c>
    </row>
    <row r="62" spans="1:5">
      <c r="A62" s="112" t="s">
        <v>1443</v>
      </c>
    </row>
  </sheetData>
  <sheetProtection algorithmName="SHA-512" hashValue="sxQW2cUJDk1vJuk5f0TkLdYgnz3xthhK9qX9eotoKJL2MS1jn1LyfpiYqzTrmEXIOk018pF4b9bFg+5ZgDup8Q==" saltValue="2JHAq+SGn5A0/vXILQp2Vw==" spinCount="100000" sheet="1" objects="1" scenarios="1"/>
  <printOptions horizontalCentered="1"/>
  <pageMargins left="0.3" right="0.3" top="0.61" bottom="0.37" header="0.1" footer="0.1"/>
  <pageSetup paperSize="9" pageOrder="overThenDown" orientation="portrait" useFirstPageNumber="1" horizontalDpi="300" verticalDpi="300"/>
  <headerFooter alignWithMargins="0">
    <oddHeader>&amp;P</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opLeftCell="A4" workbookViewId="0">
      <selection activeCell="E12" sqref="E12"/>
    </sheetView>
  </sheetViews>
  <sheetFormatPr defaultRowHeight="14.25"/>
  <cols>
    <col min="1" max="1" width="52" customWidth="1"/>
    <col min="2" max="9" width="11.25" customWidth="1"/>
  </cols>
  <sheetData>
    <row r="1" spans="1:12" ht="18">
      <c r="A1" s="657" t="s">
        <v>1723</v>
      </c>
      <c r="B1" s="657"/>
      <c r="C1" s="657"/>
      <c r="D1" s="657"/>
      <c r="E1" s="657"/>
      <c r="F1" s="657"/>
      <c r="G1" s="657"/>
      <c r="H1" s="657"/>
      <c r="I1" s="657"/>
    </row>
    <row r="2" spans="1:12" ht="16.5" thickBot="1">
      <c r="A2" s="658" t="s">
        <v>1709</v>
      </c>
      <c r="B2" s="658"/>
      <c r="C2" s="658"/>
      <c r="D2" s="658"/>
      <c r="E2" s="658"/>
      <c r="F2" s="658"/>
      <c r="G2" s="658"/>
      <c r="H2" s="658"/>
      <c r="I2" s="658"/>
    </row>
    <row r="3" spans="1:12" ht="15">
      <c r="A3" s="194"/>
      <c r="B3" s="655" t="s">
        <v>1210</v>
      </c>
      <c r="C3" s="656"/>
      <c r="D3" s="656"/>
      <c r="E3" s="656"/>
      <c r="F3" s="656"/>
      <c r="G3" s="656"/>
      <c r="H3" s="656"/>
      <c r="I3" s="656"/>
    </row>
    <row r="4" spans="1:12" ht="26.25">
      <c r="A4" s="340" t="s">
        <v>1683</v>
      </c>
      <c r="B4" s="619" t="s">
        <v>1219</v>
      </c>
      <c r="C4" s="445" t="s">
        <v>1253</v>
      </c>
      <c r="D4" s="445" t="s">
        <v>1197</v>
      </c>
      <c r="E4" s="498" t="s">
        <v>1593</v>
      </c>
      <c r="F4" s="445" t="s">
        <v>1196</v>
      </c>
      <c r="G4" s="445" t="s">
        <v>1195</v>
      </c>
      <c r="H4" s="615" t="s">
        <v>1199</v>
      </c>
      <c r="I4" s="611" t="s">
        <v>1688</v>
      </c>
    </row>
    <row r="5" spans="1:12" ht="30" customHeight="1">
      <c r="A5" s="530" t="s">
        <v>1682</v>
      </c>
      <c r="B5" s="620">
        <v>5.9339367702448218</v>
      </c>
      <c r="C5" s="531">
        <v>19.787465142588093</v>
      </c>
      <c r="D5" s="531">
        <v>51.190720463777126</v>
      </c>
      <c r="E5" s="531">
        <v>56.094267564961314</v>
      </c>
      <c r="F5" s="531">
        <v>43.776342385440955</v>
      </c>
      <c r="G5" s="531">
        <v>10.789943568676428</v>
      </c>
      <c r="H5" s="616">
        <v>-27.917254410705816</v>
      </c>
      <c r="I5" s="531">
        <v>30.7</v>
      </c>
      <c r="L5" t="s">
        <v>1682</v>
      </c>
    </row>
    <row r="6" spans="1:12" ht="30" customHeight="1">
      <c r="A6" s="532" t="s">
        <v>1710</v>
      </c>
      <c r="B6" s="622">
        <v>5.9339367702448218</v>
      </c>
      <c r="C6" s="533">
        <v>18.182447612221182</v>
      </c>
      <c r="D6" s="533">
        <v>42.748341739188021</v>
      </c>
      <c r="E6" s="533">
        <v>47.086145688453541</v>
      </c>
      <c r="F6" s="533">
        <v>26.42493222431478</v>
      </c>
      <c r="G6" s="533">
        <v>-20.976788596149717</v>
      </c>
      <c r="H6" s="618">
        <v>-85.631651568084777</v>
      </c>
      <c r="I6" s="533">
        <v>26.7</v>
      </c>
      <c r="L6" t="s">
        <v>1719</v>
      </c>
    </row>
    <row r="7" spans="1:12" ht="28.5">
      <c r="A7" s="447" t="s">
        <v>1732</v>
      </c>
      <c r="B7" s="621">
        <v>5.9339367702448218</v>
      </c>
      <c r="C7" s="529">
        <v>-4.5461881538765603</v>
      </c>
      <c r="D7" s="529">
        <v>26.791384568261439</v>
      </c>
      <c r="E7" s="529">
        <v>29.959088343530532</v>
      </c>
      <c r="F7" s="529">
        <v>18.459747240200521</v>
      </c>
      <c r="G7" s="529">
        <v>-9.1907625305728473</v>
      </c>
      <c r="H7" s="617">
        <v>-43.180873068246271</v>
      </c>
      <c r="I7" s="529">
        <v>15.9</v>
      </c>
      <c r="L7" t="s">
        <v>1721</v>
      </c>
    </row>
    <row r="8" spans="1:12" ht="30" customHeight="1">
      <c r="A8" s="532" t="s">
        <v>1733</v>
      </c>
      <c r="B8" s="622">
        <v>1.2943972343371626</v>
      </c>
      <c r="C8" s="533">
        <v>6.8408692023882374</v>
      </c>
      <c r="D8" s="533">
        <v>19.026712051495192</v>
      </c>
      <c r="E8" s="533">
        <v>21.111062298060837</v>
      </c>
      <c r="F8" s="533">
        <v>10.179655676348219</v>
      </c>
      <c r="G8" s="533">
        <v>-15.382524768559897</v>
      </c>
      <c r="H8" s="618">
        <v>-48.494637503442291</v>
      </c>
      <c r="I8" s="533">
        <v>10.7</v>
      </c>
      <c r="L8" t="s">
        <v>1720</v>
      </c>
    </row>
    <row r="9" spans="1:12" ht="29.25" thickBot="1">
      <c r="A9" s="645" t="s">
        <v>1734</v>
      </c>
      <c r="B9" s="646">
        <v>5.9339367702448218</v>
      </c>
      <c r="C9" s="647">
        <v>-18.367597666029006</v>
      </c>
      <c r="D9" s="647">
        <v>11.543880912300184</v>
      </c>
      <c r="E9" s="647">
        <v>12.93634570601532</v>
      </c>
      <c r="F9" s="647">
        <v>2.3200226686616645</v>
      </c>
      <c r="G9" s="647">
        <v>-20.871675786452386</v>
      </c>
      <c r="H9" s="648">
        <v>-51.698248969263332</v>
      </c>
      <c r="I9" s="647">
        <v>7.7</v>
      </c>
      <c r="L9" t="s">
        <v>1722</v>
      </c>
    </row>
    <row r="12" spans="1:12">
      <c r="E12" s="32">
        <f>(E5-E9)/E5</f>
        <v>0.76938203728154453</v>
      </c>
    </row>
    <row r="15" spans="1:12">
      <c r="F15" t="s">
        <v>1699</v>
      </c>
    </row>
    <row r="21" spans="1:1">
      <c r="A21" s="258"/>
    </row>
  </sheetData>
  <sheetProtection algorithmName="SHA-512" hashValue="VJDlABsPJjx/INltoRsJ+IiQKkcdXIkwn2Yy1EIakhrVIE9GWUEweJ+reO6PdvyAgJZp8ihZLxiYzuMc52Ahug==" saltValue="TehSaoJm5zOoGSKPTKDF0Q==" spinCount="100000" sheet="1" objects="1" scenarios="1"/>
  <mergeCells count="3">
    <mergeCell ref="B3:I3"/>
    <mergeCell ref="A1:I1"/>
    <mergeCell ref="A2:I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Y19" sqref="Y19"/>
    </sheetView>
  </sheetViews>
  <sheetFormatPr defaultRowHeight="14.25"/>
  <sheetData/>
  <sheetProtection algorithmName="SHA-512" hashValue="CpUoML3Cj4jIAtg9GNCm+ASp9jA99LAixzk86LAIDbSNgay7100IHWOb5SMKtAmgLpdGpMKuN0dAvL5wDojs0Q==" saltValue="pMxDZrq65gBXyNOL0ln8iQ==" spinCount="100000" sheet="1" objects="1" scenarios="1"/>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4"/>
  <sheetViews>
    <sheetView zoomScale="110" zoomScaleNormal="110" workbookViewId="0">
      <selection activeCell="E14" sqref="E14"/>
    </sheetView>
  </sheetViews>
  <sheetFormatPr defaultColWidth="9.125" defaultRowHeight="14.25"/>
  <cols>
    <col min="1" max="1" width="20.375" style="7" customWidth="1"/>
    <col min="2" max="13" width="11" style="7" customWidth="1"/>
    <col min="14" max="16384" width="9.125" style="7"/>
  </cols>
  <sheetData>
    <row r="1" spans="1:9" ht="18">
      <c r="A1" s="439" t="s">
        <v>1549</v>
      </c>
      <c r="B1" s="13"/>
    </row>
    <row r="2" spans="1:9">
      <c r="A2" s="7" t="s">
        <v>1724</v>
      </c>
    </row>
    <row r="3" spans="1:9">
      <c r="I3" s="449"/>
    </row>
    <row r="4" spans="1:9" ht="15.75" thickBot="1">
      <c r="A4" s="659" t="s">
        <v>1559</v>
      </c>
      <c r="B4" s="659"/>
      <c r="C4" s="659"/>
      <c r="D4" s="659"/>
      <c r="E4" s="659"/>
      <c r="F4" s="659"/>
      <c r="G4" s="659"/>
      <c r="H4" s="659"/>
      <c r="I4" s="659"/>
    </row>
    <row r="5" spans="1:9" ht="21" customHeight="1">
      <c r="A5" s="194"/>
      <c r="B5" s="655" t="s">
        <v>1210</v>
      </c>
      <c r="C5" s="656"/>
      <c r="D5" s="656"/>
      <c r="E5" s="656"/>
      <c r="F5" s="656"/>
      <c r="G5" s="656"/>
      <c r="H5" s="656"/>
      <c r="I5" s="656"/>
    </row>
    <row r="6" spans="1:9" ht="31.5" customHeight="1">
      <c r="A6" s="347"/>
      <c r="B6" s="619" t="s">
        <v>1219</v>
      </c>
      <c r="C6" s="445" t="s">
        <v>1253</v>
      </c>
      <c r="D6" s="445" t="s">
        <v>1197</v>
      </c>
      <c r="E6" s="498" t="s">
        <v>1708</v>
      </c>
      <c r="F6" s="445" t="s">
        <v>1196</v>
      </c>
      <c r="G6" s="445" t="s">
        <v>1195</v>
      </c>
      <c r="H6" s="612" t="s">
        <v>1199</v>
      </c>
      <c r="I6" s="611" t="s">
        <v>1688</v>
      </c>
    </row>
    <row r="7" spans="1:9" ht="21" customHeight="1">
      <c r="A7" s="633" t="s">
        <v>1558</v>
      </c>
      <c r="B7" s="634">
        <f>'Benefit cost calculation'!C241</f>
        <v>9.2431822482216717</v>
      </c>
      <c r="C7" s="635">
        <f>'Benefit cost calculation'!C242</f>
        <v>25.893191880399712</v>
      </c>
      <c r="D7" s="635">
        <f>'Benefit cost calculation'!C243</f>
        <v>64.328016824563861</v>
      </c>
      <c r="E7" s="635">
        <f>'Benefit cost calculation'!C244</f>
        <v>69.966410533800953</v>
      </c>
      <c r="F7" s="635">
        <f>'Benefit cost calculation'!C245</f>
        <v>67.193373418185473</v>
      </c>
      <c r="G7" s="635">
        <f>'Benefit cost calculation'!C246</f>
        <v>52.344936674472649</v>
      </c>
      <c r="H7" s="636">
        <f>'Benefit cost calculation'!C247</f>
        <v>41.154766185472958</v>
      </c>
      <c r="I7" s="635">
        <f>'Benefit cost calculation'!C248</f>
        <v>39.982484044559278</v>
      </c>
    </row>
    <row r="8" spans="1:9" ht="21" customHeight="1">
      <c r="A8" s="629" t="s">
        <v>1725</v>
      </c>
      <c r="B8" s="627">
        <f>B10-B9</f>
        <v>0</v>
      </c>
      <c r="C8" s="505">
        <f t="shared" ref="C8:I8" si="0">C10-C9</f>
        <v>1.5904409413309795</v>
      </c>
      <c r="D8" s="505">
        <f t="shared" si="0"/>
        <v>8.4149900644608735</v>
      </c>
      <c r="E8" s="505">
        <f t="shared" si="0"/>
        <v>8.9735849225464808</v>
      </c>
      <c r="F8" s="505">
        <f t="shared" si="0"/>
        <v>17.311103191839472</v>
      </c>
      <c r="G8" s="505">
        <f t="shared" si="0"/>
        <v>31.691946684820213</v>
      </c>
      <c r="H8" s="613">
        <f t="shared" si="0"/>
        <v>57.629432954188069</v>
      </c>
      <c r="I8" s="505">
        <f t="shared" si="0"/>
        <v>3.9913117548360981</v>
      </c>
    </row>
    <row r="9" spans="1:9" ht="21" customHeight="1">
      <c r="A9" s="629" t="s">
        <v>1726</v>
      </c>
      <c r="B9" s="627">
        <f>B10*'Public and private costs'!M143</f>
        <v>3.3092454779768503</v>
      </c>
      <c r="C9" s="505">
        <f>C10*'Public and private costs'!M144</f>
        <v>4.5152857964806392</v>
      </c>
      <c r="D9" s="505">
        <f>D10*'Public and private costs'!M145</f>
        <v>4.7223062963258657</v>
      </c>
      <c r="E9" s="505">
        <f>E10*'Public and private costs'!M146</f>
        <v>4.8985580462931591</v>
      </c>
      <c r="F9" s="505">
        <f>F10*'Public and private costs'!M147</f>
        <v>6.1059278409050464</v>
      </c>
      <c r="G9" s="505">
        <f>G10*'Public and private costs'!M148</f>
        <v>9.8630464209760085</v>
      </c>
      <c r="H9" s="613">
        <f>H10*'Public and private costs'!M149</f>
        <v>11.442587641990706</v>
      </c>
      <c r="I9" s="505">
        <f>I10*'Public and private costs'!M150</f>
        <v>5.3172706529078253</v>
      </c>
    </row>
    <row r="10" spans="1:9" ht="21" customHeight="1" thickBot="1">
      <c r="A10" s="532" t="s">
        <v>1728</v>
      </c>
      <c r="B10" s="634">
        <f>'Benefit cost calculation'!D241</f>
        <v>3.3092454779768503</v>
      </c>
      <c r="C10" s="635">
        <f>'Benefit cost calculation'!D242</f>
        <v>6.1057267378116187</v>
      </c>
      <c r="D10" s="635">
        <f>'Benefit cost calculation'!D243</f>
        <v>13.137296360786738</v>
      </c>
      <c r="E10" s="635">
        <f>'Benefit cost calculation'!D244</f>
        <v>13.87214296883964</v>
      </c>
      <c r="F10" s="635">
        <f>'Benefit cost calculation'!D245</f>
        <v>23.417031032744518</v>
      </c>
      <c r="G10" s="635">
        <f>'Benefit cost calculation'!D246</f>
        <v>41.554993105796221</v>
      </c>
      <c r="H10" s="636">
        <f>'Benefit cost calculation'!D247</f>
        <v>69.072020596178774</v>
      </c>
      <c r="I10" s="635">
        <f>'Benefit cost calculation'!D248</f>
        <v>9.3085824077439234</v>
      </c>
    </row>
    <row r="11" spans="1:9" ht="21" customHeight="1" thickBot="1">
      <c r="A11" s="637" t="s">
        <v>1605</v>
      </c>
      <c r="B11" s="638">
        <f t="shared" ref="B11:H11" si="1">B7-B10</f>
        <v>5.9339367702448218</v>
      </c>
      <c r="C11" s="639">
        <f t="shared" si="1"/>
        <v>19.787465142588093</v>
      </c>
      <c r="D11" s="639">
        <f t="shared" si="1"/>
        <v>51.190720463777126</v>
      </c>
      <c r="E11" s="639">
        <f t="shared" si="1"/>
        <v>56.094267564961314</v>
      </c>
      <c r="F11" s="639">
        <f t="shared" si="1"/>
        <v>43.776342385440955</v>
      </c>
      <c r="G11" s="639">
        <f t="shared" si="1"/>
        <v>10.789943568676428</v>
      </c>
      <c r="H11" s="640">
        <f t="shared" si="1"/>
        <v>-27.917254410705816</v>
      </c>
      <c r="I11" s="639">
        <f t="shared" ref="I11" si="2">I7-I10</f>
        <v>30.673901636815355</v>
      </c>
    </row>
    <row r="12" spans="1:9" ht="21" customHeight="1" thickBot="1">
      <c r="A12" s="448" t="s">
        <v>1235</v>
      </c>
      <c r="B12" s="628">
        <f>B7/B10</f>
        <v>2.7931388921539329</v>
      </c>
      <c r="C12" s="446">
        <f t="shared" ref="C12:H12" si="3">C7/C10</f>
        <v>4.2408042469454195</v>
      </c>
      <c r="D12" s="446">
        <f t="shared" si="3"/>
        <v>4.8965947831226</v>
      </c>
      <c r="E12" s="446">
        <f t="shared" ref="E12" si="4">E7/E10</f>
        <v>5.043662734082492</v>
      </c>
      <c r="F12" s="446">
        <f t="shared" si="3"/>
        <v>2.8694232554172898</v>
      </c>
      <c r="G12" s="446">
        <f t="shared" si="3"/>
        <v>1.259654562839319</v>
      </c>
      <c r="H12" s="614">
        <f t="shared" si="3"/>
        <v>0.59582397952536137</v>
      </c>
      <c r="I12" s="446">
        <f t="shared" ref="I12" si="5">I7/I10</f>
        <v>4.2952280264820306</v>
      </c>
    </row>
    <row r="13" spans="1:9" ht="15">
      <c r="A13" s="444"/>
      <c r="B13" s="187"/>
      <c r="C13" s="443"/>
      <c r="D13" s="443"/>
      <c r="E13" s="443"/>
      <c r="F13" s="443"/>
      <c r="G13" s="443"/>
      <c r="H13" s="443"/>
      <c r="I13" s="443"/>
    </row>
    <row r="15" spans="1:9" ht="18">
      <c r="A15" s="439" t="s">
        <v>1236</v>
      </c>
      <c r="B15" s="13"/>
    </row>
    <row r="16" spans="1:9">
      <c r="A16" s="7" t="s">
        <v>1551</v>
      </c>
    </row>
    <row r="17" spans="1:9">
      <c r="A17" s="450" t="s">
        <v>1561</v>
      </c>
    </row>
    <row r="18" spans="1:9">
      <c r="A18" s="254">
        <f>75%</f>
        <v>0.75</v>
      </c>
      <c r="B18" s="233" t="s">
        <v>1256</v>
      </c>
      <c r="I18" s="254"/>
    </row>
    <row r="19" spans="1:9">
      <c r="A19" s="255">
        <f>90%*'Summary '!A63</f>
        <v>0.9</v>
      </c>
      <c r="B19" s="233" t="s">
        <v>1444</v>
      </c>
      <c r="I19" s="255"/>
    </row>
    <row r="20" spans="1:9" ht="15" thickBot="1">
      <c r="A20" s="257"/>
      <c r="B20" s="233" t="s">
        <v>1239</v>
      </c>
      <c r="C20" s="256"/>
      <c r="D20" s="258"/>
      <c r="E20" s="258"/>
      <c r="I20" s="257"/>
    </row>
    <row r="21" spans="1:9" ht="30" customHeight="1">
      <c r="A21" s="257"/>
      <c r="B21" s="394" t="s">
        <v>1253</v>
      </c>
      <c r="C21" s="394" t="s">
        <v>1197</v>
      </c>
      <c r="D21" s="497" t="s">
        <v>1593</v>
      </c>
      <c r="E21" s="394" t="s">
        <v>1196</v>
      </c>
      <c r="F21" s="394" t="s">
        <v>1195</v>
      </c>
      <c r="G21" s="535" t="s">
        <v>1199</v>
      </c>
      <c r="H21" s="534" t="s">
        <v>1689</v>
      </c>
    </row>
    <row r="22" spans="1:9" ht="15" thickBot="1">
      <c r="A22" s="257"/>
      <c r="B22" s="441">
        <v>0.8</v>
      </c>
      <c r="C22" s="441">
        <v>0.85</v>
      </c>
      <c r="D22" s="441">
        <v>0.85</v>
      </c>
      <c r="E22" s="441">
        <v>0.9</v>
      </c>
      <c r="F22" s="441">
        <v>0.95</v>
      </c>
      <c r="G22" s="549">
        <v>0.95</v>
      </c>
      <c r="H22" s="441">
        <v>0.95</v>
      </c>
    </row>
    <row r="23" spans="1:9">
      <c r="A23" s="257"/>
      <c r="B23" s="256"/>
      <c r="C23" s="256"/>
      <c r="D23" s="256"/>
      <c r="E23" s="258"/>
      <c r="F23" s="258"/>
    </row>
    <row r="24" spans="1:9" ht="15" thickBot="1">
      <c r="A24" s="257"/>
      <c r="B24" s="233" t="s">
        <v>1240</v>
      </c>
      <c r="C24" s="256"/>
      <c r="D24" s="256"/>
      <c r="E24" s="258"/>
      <c r="F24" s="258"/>
    </row>
    <row r="25" spans="1:9" ht="30" customHeight="1">
      <c r="A25" s="257"/>
      <c r="B25" s="394" t="s">
        <v>1253</v>
      </c>
      <c r="C25" s="394" t="s">
        <v>1197</v>
      </c>
      <c r="D25" s="497" t="s">
        <v>1593</v>
      </c>
      <c r="E25" s="394" t="s">
        <v>1196</v>
      </c>
      <c r="F25" s="394" t="s">
        <v>1195</v>
      </c>
      <c r="G25" s="535" t="s">
        <v>1199</v>
      </c>
      <c r="H25" s="534" t="s">
        <v>1689</v>
      </c>
    </row>
    <row r="26" spans="1:9">
      <c r="A26" s="438" t="s">
        <v>74</v>
      </c>
      <c r="B26" s="256">
        <f>SUM('Public and private costs'!C127:H127)-'Public and private costs'!E127</f>
        <v>0.84675300000000009</v>
      </c>
      <c r="C26" s="256">
        <f>SUM('Public and private costs'!D127:H127)-'Public and private costs'!E127</f>
        <v>0.74689300000000003</v>
      </c>
      <c r="D26" s="256">
        <f>SUM('Public and private costs'!F127:H127)</f>
        <v>0.58139299999999994</v>
      </c>
      <c r="E26" s="256">
        <f>SUM('Public and private costs'!F127:H127)</f>
        <v>0.58139299999999994</v>
      </c>
      <c r="F26" s="256">
        <f>SUM('Public and private costs'!G127:H127)</f>
        <v>0.110805</v>
      </c>
      <c r="G26" s="550">
        <f>'Public and private costs'!H127</f>
        <v>3.9669999999999997E-2</v>
      </c>
      <c r="H26" s="256">
        <v>0.04</v>
      </c>
      <c r="I26" s="440" t="s">
        <v>1547</v>
      </c>
    </row>
    <row r="27" spans="1:9">
      <c r="A27" s="438" t="s">
        <v>75</v>
      </c>
      <c r="B27" s="256">
        <v>0.75</v>
      </c>
      <c r="C27" s="256">
        <v>0.66</v>
      </c>
      <c r="D27" s="256">
        <v>0.75</v>
      </c>
      <c r="E27" s="256">
        <v>0.5</v>
      </c>
      <c r="F27" s="256">
        <v>0.4</v>
      </c>
      <c r="G27" s="550">
        <v>0.3</v>
      </c>
      <c r="H27" s="255">
        <v>0.95</v>
      </c>
      <c r="I27" s="440" t="s">
        <v>1684</v>
      </c>
    </row>
    <row r="28" spans="1:9" ht="15" thickBot="1">
      <c r="A28" s="438" t="s">
        <v>1548</v>
      </c>
      <c r="B28" s="441">
        <f t="shared" ref="B28:F28" si="6">B26+(1-B26)*B27</f>
        <v>0.96168825000000002</v>
      </c>
      <c r="C28" s="441">
        <f t="shared" si="6"/>
        <v>0.91394361999999996</v>
      </c>
      <c r="D28" s="441">
        <f t="shared" si="6"/>
        <v>0.89534824999999996</v>
      </c>
      <c r="E28" s="441">
        <f>E26+(1-E26)*E27</f>
        <v>0.79069649999999991</v>
      </c>
      <c r="F28" s="441">
        <f t="shared" si="6"/>
        <v>0.46648299999999998</v>
      </c>
      <c r="G28" s="549">
        <f>G26+(1-G26)*G27</f>
        <v>0.32776899999999998</v>
      </c>
      <c r="H28" s="441">
        <f>H26+(1-H26)*H27</f>
        <v>0.95199999999999996</v>
      </c>
      <c r="I28" s="440" t="s">
        <v>1592</v>
      </c>
    </row>
    <row r="29" spans="1:9">
      <c r="A29" s="257"/>
      <c r="B29" s="256"/>
      <c r="C29" s="256"/>
      <c r="D29" s="258"/>
      <c r="E29" s="258"/>
    </row>
    <row r="30" spans="1:9">
      <c r="A30" s="450" t="s">
        <v>1562</v>
      </c>
      <c r="B30" s="256"/>
      <c r="C30" s="256"/>
      <c r="D30" s="258"/>
      <c r="E30" s="258"/>
    </row>
    <row r="31" spans="1:9">
      <c r="A31" s="219">
        <v>3000</v>
      </c>
      <c r="B31" s="233" t="s">
        <v>1242</v>
      </c>
    </row>
    <row r="32" spans="1:9">
      <c r="A32" s="219">
        <v>10</v>
      </c>
      <c r="B32" s="233" t="s">
        <v>1685</v>
      </c>
    </row>
    <row r="33" spans="1:8">
      <c r="A33" s="463">
        <v>50000</v>
      </c>
      <c r="B33" s="233" t="s">
        <v>1591</v>
      </c>
    </row>
    <row r="34" spans="1:8">
      <c r="A34" s="463">
        <v>80</v>
      </c>
      <c r="B34" s="233" t="s">
        <v>1615</v>
      </c>
    </row>
    <row r="35" spans="1:8">
      <c r="A35" s="641">
        <v>1.2</v>
      </c>
      <c r="B35" s="233" t="s">
        <v>1729</v>
      </c>
    </row>
    <row r="36" spans="1:8" ht="15" thickBot="1">
      <c r="A36" s="463"/>
      <c r="B36" s="233" t="s">
        <v>1692</v>
      </c>
    </row>
    <row r="37" spans="1:8" ht="15.75" customHeight="1">
      <c r="A37" s="463"/>
      <c r="B37" s="394" t="s">
        <v>1705</v>
      </c>
      <c r="C37" s="394" t="s">
        <v>1706</v>
      </c>
      <c r="D37" s="497" t="s">
        <v>18</v>
      </c>
    </row>
    <row r="38" spans="1:8" ht="15" thickBot="1">
      <c r="A38" s="463"/>
      <c r="B38" s="577">
        <v>8</v>
      </c>
      <c r="C38" s="490">
        <v>35</v>
      </c>
      <c r="D38" s="490">
        <f>B38*C38</f>
        <v>280</v>
      </c>
    </row>
    <row r="39" spans="1:8" ht="15" thickBot="1">
      <c r="A39" s="463"/>
      <c r="B39" s="233" t="s">
        <v>1606</v>
      </c>
    </row>
    <row r="40" spans="1:8" ht="15">
      <c r="A40" s="463"/>
      <c r="B40" s="394" t="s">
        <v>1254</v>
      </c>
      <c r="C40" s="394" t="s">
        <v>1253</v>
      </c>
      <c r="D40" s="497" t="s">
        <v>1197</v>
      </c>
      <c r="E40" s="497" t="s">
        <v>1196</v>
      </c>
      <c r="F40" s="497" t="s">
        <v>1195</v>
      </c>
      <c r="G40" s="497" t="s">
        <v>1199</v>
      </c>
    </row>
    <row r="41" spans="1:8" ht="15" thickBot="1">
      <c r="A41" s="463"/>
      <c r="B41" s="441">
        <v>0.4</v>
      </c>
      <c r="C41" s="441">
        <v>0.5</v>
      </c>
      <c r="D41" s="441">
        <v>0.85</v>
      </c>
      <c r="E41" s="441">
        <v>0.95</v>
      </c>
      <c r="F41" s="441">
        <v>1</v>
      </c>
      <c r="G41" s="441">
        <v>1</v>
      </c>
    </row>
    <row r="42" spans="1:8">
      <c r="A42" s="219"/>
      <c r="B42" s="233"/>
    </row>
    <row r="43" spans="1:8">
      <c r="A43" s="450" t="s">
        <v>1563</v>
      </c>
      <c r="B43" s="256"/>
      <c r="C43" s="256"/>
      <c r="D43" s="258"/>
      <c r="E43" s="258"/>
    </row>
    <row r="44" spans="1:8" ht="15">
      <c r="A44" s="256">
        <v>0.04</v>
      </c>
      <c r="B44" s="233" t="s">
        <v>1241</v>
      </c>
      <c r="G44" s="1" t="s">
        <v>1557</v>
      </c>
    </row>
    <row r="45" spans="1:8">
      <c r="A45" s="504">
        <v>0.01</v>
      </c>
      <c r="B45" s="259" t="s">
        <v>1604</v>
      </c>
      <c r="G45" s="2" t="s">
        <v>1501</v>
      </c>
      <c r="H45" s="442" t="s">
        <v>1552</v>
      </c>
    </row>
    <row r="46" spans="1:8">
      <c r="A46" s="504">
        <v>0.04</v>
      </c>
      <c r="B46" s="259" t="s">
        <v>1556</v>
      </c>
      <c r="G46" s="2" t="s">
        <v>1554</v>
      </c>
      <c r="H46" s="442" t="s">
        <v>1553</v>
      </c>
    </row>
    <row r="47" spans="1:8">
      <c r="A47" s="255">
        <v>0.1</v>
      </c>
      <c r="B47" s="259" t="s">
        <v>1244</v>
      </c>
      <c r="G47" s="2" t="s">
        <v>1502</v>
      </c>
      <c r="H47" s="442" t="s">
        <v>1555</v>
      </c>
    </row>
    <row r="49" spans="1:10" ht="18">
      <c r="A49" s="439" t="s">
        <v>1243</v>
      </c>
      <c r="B49" s="13"/>
    </row>
    <row r="50" spans="1:10">
      <c r="A50" s="7" t="s">
        <v>1550</v>
      </c>
    </row>
    <row r="51" spans="1:10">
      <c r="A51" s="450" t="s">
        <v>1564</v>
      </c>
    </row>
    <row r="52" spans="1:10">
      <c r="A52" s="495">
        <f>'Estimation of benefit value'!B5</f>
        <v>1100000000</v>
      </c>
      <c r="B52" s="259" t="s">
        <v>1589</v>
      </c>
      <c r="J52" s="522"/>
    </row>
    <row r="55" spans="1:10" ht="18">
      <c r="A55" s="439" t="s">
        <v>1718</v>
      </c>
      <c r="C55"/>
      <c r="D55"/>
      <c r="E55"/>
    </row>
    <row r="56" spans="1:10">
      <c r="A56" s="7" t="s">
        <v>1711</v>
      </c>
      <c r="C56"/>
      <c r="D56"/>
      <c r="E56"/>
    </row>
    <row r="57" spans="1:10">
      <c r="A57" s="7" t="s">
        <v>1712</v>
      </c>
      <c r="C57"/>
      <c r="D57"/>
      <c r="E57"/>
    </row>
    <row r="58" spans="1:10">
      <c r="A58" s="7" t="s">
        <v>1713</v>
      </c>
      <c r="C58"/>
      <c r="D58"/>
      <c r="E58"/>
      <c r="F58" s="187"/>
      <c r="G58" s="187"/>
      <c r="H58" s="187"/>
      <c r="I58" s="187"/>
      <c r="J58" s="187"/>
    </row>
    <row r="59" spans="1:10">
      <c r="C59"/>
      <c r="D59"/>
      <c r="E59"/>
    </row>
    <row r="60" spans="1:10">
      <c r="A60" s="258">
        <v>1</v>
      </c>
      <c r="B60" s="233" t="s">
        <v>1714</v>
      </c>
      <c r="C60"/>
      <c r="D60"/>
      <c r="E60"/>
    </row>
    <row r="61" spans="1:10">
      <c r="A61" s="258">
        <v>1</v>
      </c>
      <c r="B61" s="626" t="s">
        <v>1716</v>
      </c>
      <c r="E61"/>
    </row>
    <row r="62" spans="1:10">
      <c r="A62" s="258">
        <v>1</v>
      </c>
      <c r="B62" s="626" t="s">
        <v>1717</v>
      </c>
      <c r="C62"/>
      <c r="D62"/>
      <c r="E62"/>
    </row>
    <row r="63" spans="1:10">
      <c r="A63" s="258">
        <v>1</v>
      </c>
      <c r="B63" s="233" t="s">
        <v>1715</v>
      </c>
      <c r="C63"/>
      <c r="D63"/>
      <c r="E63"/>
    </row>
    <row r="64" spans="1:10">
      <c r="C64"/>
      <c r="D64"/>
    </row>
  </sheetData>
  <sheetProtection algorithmName="SHA-512" hashValue="1kzI6tCnJHhKDfFSlNeR/hCUQnzVpt8zd8KQ93C0wR4ToFKFyNuAitmB1hKy50nh7AEry3XpmbAIelSzDe9OGw==" saltValue="LYA6/8aT7CSziYWrnB7VJQ==" spinCount="100000" sheet="1" objects="1" scenarios="1"/>
  <mergeCells count="2">
    <mergeCell ref="B5:I5"/>
    <mergeCell ref="A4:I4"/>
  </mergeCells>
  <pageMargins left="0.7" right="0.7" top="0.75" bottom="0.75" header="0.3" footer="0.3"/>
  <pageSetup paperSize="9" orientation="portrait" r:id="rId1"/>
  <ignoredErrors>
    <ignoredError sqref="B26:F26" formulaRange="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73"/>
  <sheetViews>
    <sheetView topLeftCell="A41" zoomScale="80" zoomScaleNormal="80" workbookViewId="0">
      <selection activeCell="J60" sqref="J60"/>
    </sheetView>
  </sheetViews>
  <sheetFormatPr defaultColWidth="9.125" defaultRowHeight="19.899999999999999" customHeight="1"/>
  <cols>
    <col min="1" max="1" width="18.25" style="7" customWidth="1"/>
    <col min="2" max="2" width="16" style="5" customWidth="1"/>
    <col min="3" max="3" width="14.375" style="5" customWidth="1"/>
    <col min="4" max="4" width="14.875" style="5" customWidth="1"/>
    <col min="5" max="5" width="17.25" style="5" customWidth="1"/>
    <col min="6" max="6" width="15.625" style="5" customWidth="1"/>
    <col min="7" max="7" width="18" style="5" customWidth="1"/>
    <col min="8" max="8" width="18.375" style="5" customWidth="1"/>
    <col min="9" max="14" width="17.875" style="7" customWidth="1"/>
    <col min="15" max="15" width="17.375" style="7" customWidth="1"/>
    <col min="16" max="16" width="16" style="7" customWidth="1"/>
    <col min="17" max="17" width="17.375" style="7" customWidth="1"/>
    <col min="18" max="18" width="16" style="7" customWidth="1"/>
    <col min="19" max="16384" width="9.125" style="7"/>
  </cols>
  <sheetData>
    <row r="1" spans="1:18" s="175" customFormat="1" ht="19.5" customHeight="1">
      <c r="A1" s="161" t="s">
        <v>1521</v>
      </c>
      <c r="B1" s="162"/>
      <c r="C1" s="162"/>
      <c r="D1" s="162"/>
      <c r="E1" s="162"/>
      <c r="F1" s="162"/>
      <c r="G1" s="162"/>
      <c r="H1" s="229"/>
    </row>
    <row r="2" spans="1:18" ht="19.899999999999999" customHeight="1">
      <c r="A2" s="8" t="s">
        <v>1546</v>
      </c>
      <c r="B2" s="21"/>
      <c r="C2" s="21"/>
      <c r="D2" s="21"/>
      <c r="E2" s="21"/>
      <c r="F2" s="21"/>
      <c r="G2" s="21"/>
    </row>
    <row r="3" spans="1:18" ht="19.899999999999999" customHeight="1">
      <c r="A3" s="8"/>
    </row>
    <row r="4" spans="1:18" ht="19.899999999999999" customHeight="1">
      <c r="A4" s="12" t="s">
        <v>1489</v>
      </c>
      <c r="B4" s="230"/>
      <c r="C4" s="230"/>
      <c r="D4" s="230"/>
      <c r="E4" s="230"/>
      <c r="F4" s="230"/>
    </row>
    <row r="5" spans="1:18" ht="19.899999999999999" customHeight="1">
      <c r="A5" s="9" t="s">
        <v>1492</v>
      </c>
      <c r="B5" s="6"/>
      <c r="C5" s="6"/>
      <c r="D5" s="6"/>
      <c r="E5" s="6"/>
      <c r="F5" s="6"/>
      <c r="G5" s="6"/>
      <c r="H5" s="6"/>
    </row>
    <row r="6" spans="1:18" ht="19.899999999999999" customHeight="1">
      <c r="A6" s="1" t="s">
        <v>1238</v>
      </c>
      <c r="B6" s="215"/>
      <c r="C6" s="169">
        <f>'Summary '!A18</f>
        <v>0.75</v>
      </c>
      <c r="F6" s="7"/>
      <c r="G6" s="7"/>
      <c r="H6" s="7"/>
      <c r="K6" s="175"/>
      <c r="M6" s="175"/>
    </row>
    <row r="7" spans="1:18" s="13" customFormat="1" ht="19.899999999999999" customHeight="1">
      <c r="A7" s="9" t="s">
        <v>1485</v>
      </c>
      <c r="B7" s="6"/>
      <c r="C7" s="6"/>
      <c r="D7" s="6"/>
      <c r="E7" s="6"/>
      <c r="F7" s="6"/>
      <c r="G7" s="6"/>
      <c r="H7" s="6"/>
    </row>
    <row r="8" spans="1:18" ht="19.899999999999999" customHeight="1">
      <c r="A8" s="1" t="s">
        <v>1480</v>
      </c>
      <c r="B8" s="215"/>
      <c r="C8" s="170">
        <f>'Summary '!A19</f>
        <v>0.9</v>
      </c>
      <c r="F8" s="231"/>
      <c r="G8" s="231"/>
      <c r="H8" s="231"/>
      <c r="I8" s="231"/>
      <c r="J8" s="231"/>
      <c r="K8" s="232"/>
      <c r="L8" s="175"/>
      <c r="M8" s="175"/>
    </row>
    <row r="9" spans="1:18" s="13" customFormat="1" ht="19.899999999999999" customHeight="1">
      <c r="A9" s="9" t="s">
        <v>1486</v>
      </c>
      <c r="B9" s="6"/>
      <c r="C9" s="6"/>
      <c r="D9" s="6"/>
      <c r="E9" s="6"/>
      <c r="F9" s="6"/>
      <c r="G9" s="6"/>
      <c r="H9" s="6"/>
    </row>
    <row r="10" spans="1:18" s="13" customFormat="1" ht="19.899999999999999" customHeight="1">
      <c r="A10" s="9" t="s">
        <v>1488</v>
      </c>
      <c r="B10" s="6"/>
      <c r="C10" s="6"/>
      <c r="D10" s="6"/>
      <c r="E10" s="6"/>
      <c r="F10" s="6"/>
      <c r="G10" s="6"/>
      <c r="H10" s="6"/>
    </row>
    <row r="11" spans="1:18" s="13" customFormat="1" ht="19.899999999999999" customHeight="1">
      <c r="A11" s="233" t="s">
        <v>1484</v>
      </c>
      <c r="C11" s="6"/>
      <c r="D11" s="6"/>
      <c r="E11" s="6"/>
      <c r="F11" s="6"/>
      <c r="G11" s="6"/>
      <c r="H11" s="6"/>
    </row>
    <row r="12" spans="1:18" s="13" customFormat="1" ht="19.899999999999999" customHeight="1">
      <c r="A12" s="233" t="s">
        <v>65</v>
      </c>
      <c r="C12" s="6"/>
      <c r="D12" s="6"/>
      <c r="E12" s="6"/>
      <c r="F12" s="6"/>
      <c r="G12" s="6"/>
      <c r="H12" s="6"/>
    </row>
    <row r="13" spans="1:18" s="13" customFormat="1" ht="19.899999999999999" customHeight="1">
      <c r="A13" s="233" t="s">
        <v>1487</v>
      </c>
      <c r="C13" s="6"/>
      <c r="D13" s="6"/>
      <c r="E13" s="6"/>
      <c r="F13" s="6"/>
      <c r="G13" s="6"/>
      <c r="H13" s="6"/>
    </row>
    <row r="14" spans="1:18" s="13" customFormat="1" ht="19.899999999999999" customHeight="1">
      <c r="A14" s="233" t="s">
        <v>1482</v>
      </c>
      <c r="C14" s="6"/>
      <c r="D14" s="6"/>
      <c r="E14" s="6"/>
      <c r="F14" s="6"/>
      <c r="G14" s="6"/>
      <c r="H14" s="6"/>
    </row>
    <row r="15" spans="1:18" s="13" customFormat="1" ht="19.899999999999999" customHeight="1">
      <c r="A15" s="233" t="s">
        <v>1483</v>
      </c>
      <c r="C15" s="6"/>
      <c r="D15" s="6"/>
      <c r="E15" s="6"/>
      <c r="F15" s="6"/>
      <c r="G15" s="6"/>
      <c r="H15" s="6"/>
    </row>
    <row r="16" spans="1:18" ht="19.899999999999999" customHeight="1">
      <c r="A16" s="234"/>
      <c r="B16" s="235"/>
      <c r="C16" s="236"/>
      <c r="D16" s="167"/>
      <c r="F16" s="7"/>
      <c r="G16" s="232"/>
      <c r="I16" s="5"/>
      <c r="J16" s="5"/>
      <c r="K16" s="231"/>
      <c r="L16" s="231"/>
      <c r="M16" s="231"/>
      <c r="N16" s="231"/>
      <c r="O16" s="231"/>
      <c r="P16" s="232"/>
      <c r="Q16" s="231"/>
      <c r="R16" s="232"/>
    </row>
    <row r="17" spans="1:18" ht="19.899999999999999" customHeight="1">
      <c r="A17" s="20" t="s">
        <v>1493</v>
      </c>
      <c r="B17" s="235"/>
      <c r="C17" s="236"/>
      <c r="D17" s="167"/>
      <c r="F17" s="7"/>
      <c r="G17" s="232"/>
      <c r="I17" s="5"/>
      <c r="J17" s="5"/>
      <c r="K17" s="231"/>
      <c r="L17" s="231"/>
      <c r="M17" s="231"/>
      <c r="N17" s="231"/>
      <c r="O17" s="231"/>
      <c r="P17" s="232"/>
      <c r="Q17" s="231"/>
      <c r="R17" s="232"/>
    </row>
    <row r="18" spans="1:18" ht="19.899999999999999" customHeight="1">
      <c r="A18" s="237" t="s">
        <v>95</v>
      </c>
      <c r="B18" s="238">
        <f>C6*C8</f>
        <v>0.67500000000000004</v>
      </c>
      <c r="C18" s="167"/>
      <c r="E18" s="7"/>
      <c r="F18" s="232"/>
      <c r="I18" s="5"/>
      <c r="J18" s="231"/>
      <c r="K18" s="231"/>
      <c r="L18" s="231"/>
      <c r="M18" s="231"/>
      <c r="N18" s="231"/>
      <c r="O18" s="232"/>
      <c r="P18" s="175"/>
      <c r="Q18" s="232"/>
      <c r="R18" s="175"/>
    </row>
    <row r="19" spans="1:18" ht="19.899999999999999" customHeight="1">
      <c r="A19" s="158" t="s">
        <v>1237</v>
      </c>
      <c r="B19" s="403">
        <f>(1-((1-C6)/(1-B18)))</f>
        <v>0.23076923076923062</v>
      </c>
      <c r="C19" s="236"/>
      <c r="D19" s="236"/>
      <c r="H19" s="239"/>
      <c r="J19" s="32"/>
      <c r="K19" s="32"/>
      <c r="L19" s="32"/>
      <c r="M19" s="32"/>
      <c r="N19" s="92"/>
      <c r="O19" s="240"/>
      <c r="P19" s="175"/>
      <c r="Q19" s="240"/>
      <c r="R19" s="175"/>
    </row>
    <row r="20" spans="1:18" ht="19.899999999999999" customHeight="1">
      <c r="A20" s="91" t="s">
        <v>21</v>
      </c>
      <c r="B20" s="154">
        <f>1-((1-B18)*(1-B19))</f>
        <v>0.75</v>
      </c>
      <c r="C20" s="241"/>
      <c r="D20" s="241"/>
      <c r="E20" s="241"/>
      <c r="F20" s="166"/>
      <c r="H20" s="7"/>
      <c r="I20" s="13"/>
      <c r="J20" s="13"/>
      <c r="K20" s="13"/>
      <c r="L20" s="13"/>
      <c r="M20" s="13"/>
      <c r="N20" s="13"/>
      <c r="O20" s="13"/>
      <c r="P20" s="13"/>
      <c r="Q20" s="13"/>
      <c r="R20" s="13"/>
    </row>
    <row r="21" spans="1:18" ht="19.899999999999999" customHeight="1">
      <c r="A21" s="168"/>
      <c r="B21" s="241"/>
      <c r="C21" s="241"/>
      <c r="D21" s="241"/>
      <c r="E21" s="241"/>
      <c r="F21" s="241"/>
      <c r="G21" s="166"/>
      <c r="J21" s="13"/>
      <c r="K21" s="13"/>
      <c r="L21" s="13"/>
      <c r="M21" s="13"/>
      <c r="N21" s="13"/>
      <c r="O21" s="13"/>
      <c r="P21" s="13"/>
      <c r="Q21" s="13"/>
      <c r="R21" s="13"/>
    </row>
    <row r="22" spans="1:18" ht="19.899999999999999" customHeight="1">
      <c r="A22" s="12" t="s">
        <v>93</v>
      </c>
      <c r="B22" s="230"/>
      <c r="C22" s="230"/>
      <c r="D22" s="230"/>
      <c r="E22" s="241"/>
      <c r="F22" s="241"/>
      <c r="G22" s="166"/>
    </row>
    <row r="23" spans="1:18" s="13" customFormat="1" ht="19.899999999999999" customHeight="1">
      <c r="A23" s="9" t="s">
        <v>1490</v>
      </c>
      <c r="B23" s="6"/>
      <c r="C23" s="6"/>
      <c r="D23" s="6"/>
      <c r="E23" s="6"/>
      <c r="F23" s="6"/>
      <c r="G23" s="6"/>
      <c r="H23" s="6"/>
    </row>
    <row r="25" spans="1:18" ht="31.15" customHeight="1" thickBot="1">
      <c r="A25" s="10"/>
      <c r="B25" s="11" t="s">
        <v>1</v>
      </c>
      <c r="C25" s="11" t="s">
        <v>2</v>
      </c>
      <c r="D25" s="11"/>
      <c r="E25" s="14" t="s">
        <v>24</v>
      </c>
      <c r="F25" s="14"/>
    </row>
    <row r="26" spans="1:18" ht="15" customHeight="1">
      <c r="A26" s="194"/>
      <c r="B26" s="377"/>
      <c r="C26" s="377"/>
      <c r="D26" s="377"/>
      <c r="E26" s="377"/>
      <c r="F26" s="378"/>
      <c r="G26" s="660" t="s">
        <v>1253</v>
      </c>
      <c r="H26" s="661"/>
      <c r="I26" s="660" t="s">
        <v>1197</v>
      </c>
      <c r="J26" s="661"/>
      <c r="K26" s="660" t="s">
        <v>1196</v>
      </c>
      <c r="L26" s="661"/>
      <c r="M26" s="660" t="s">
        <v>1195</v>
      </c>
      <c r="N26" s="661"/>
      <c r="O26" s="660" t="s">
        <v>1199</v>
      </c>
      <c r="P26" s="661"/>
      <c r="Q26" s="660" t="s">
        <v>1688</v>
      </c>
      <c r="R26" s="661"/>
    </row>
    <row r="27" spans="1:18" ht="14.25">
      <c r="A27" s="400" t="s">
        <v>74</v>
      </c>
      <c r="B27" s="85" t="s">
        <v>75</v>
      </c>
      <c r="C27" s="85" t="s">
        <v>76</v>
      </c>
      <c r="D27" s="85" t="s">
        <v>77</v>
      </c>
      <c r="E27" s="85" t="s">
        <v>78</v>
      </c>
      <c r="F27" s="86" t="s">
        <v>79</v>
      </c>
      <c r="G27" s="85" t="s">
        <v>80</v>
      </c>
      <c r="H27" s="89" t="s">
        <v>81</v>
      </c>
      <c r="I27" s="85" t="s">
        <v>80</v>
      </c>
      <c r="J27" s="89" t="s">
        <v>81</v>
      </c>
      <c r="K27" s="85" t="s">
        <v>80</v>
      </c>
      <c r="L27" s="89" t="s">
        <v>81</v>
      </c>
      <c r="M27" s="85" t="s">
        <v>80</v>
      </c>
      <c r="N27" s="89" t="s">
        <v>81</v>
      </c>
      <c r="O27" s="85" t="s">
        <v>80</v>
      </c>
      <c r="P27" s="89" t="s">
        <v>81</v>
      </c>
      <c r="Q27" s="85" t="s">
        <v>80</v>
      </c>
      <c r="R27" s="153" t="s">
        <v>81</v>
      </c>
    </row>
    <row r="28" spans="1:18" s="243" customFormat="1" ht="69" customHeight="1">
      <c r="A28" s="87" t="s">
        <v>0</v>
      </c>
      <c r="B28" s="25" t="s">
        <v>1177</v>
      </c>
      <c r="C28" s="123" t="s">
        <v>1437</v>
      </c>
      <c r="D28" s="25" t="s">
        <v>70</v>
      </c>
      <c r="E28" s="25" t="s">
        <v>82</v>
      </c>
      <c r="F28" s="87" t="s">
        <v>83</v>
      </c>
      <c r="G28" s="25" t="s">
        <v>1229</v>
      </c>
      <c r="H28" s="87" t="s">
        <v>84</v>
      </c>
      <c r="I28" s="25" t="s">
        <v>1229</v>
      </c>
      <c r="J28" s="87" t="s">
        <v>84</v>
      </c>
      <c r="K28" s="25" t="s">
        <v>1229</v>
      </c>
      <c r="L28" s="87" t="s">
        <v>84</v>
      </c>
      <c r="M28" s="25" t="s">
        <v>1229</v>
      </c>
      <c r="N28" s="87" t="s">
        <v>84</v>
      </c>
      <c r="O28" s="25" t="s">
        <v>1229</v>
      </c>
      <c r="P28" s="87" t="s">
        <v>84</v>
      </c>
      <c r="Q28" s="25" t="s">
        <v>1229</v>
      </c>
      <c r="R28" s="25" t="s">
        <v>84</v>
      </c>
    </row>
    <row r="29" spans="1:18" s="243" customFormat="1" ht="23.25" customHeight="1">
      <c r="A29" s="86">
        <v>0</v>
      </c>
      <c r="B29" s="152">
        <v>3.8834951456310676E-2</v>
      </c>
      <c r="C29" s="236">
        <v>0</v>
      </c>
      <c r="D29" s="235">
        <f>B29*C29</f>
        <v>0</v>
      </c>
      <c r="E29" s="235">
        <v>0</v>
      </c>
      <c r="F29" s="244">
        <f>E29*C29*B29</f>
        <v>0</v>
      </c>
      <c r="G29" s="235">
        <f>F29</f>
        <v>0</v>
      </c>
      <c r="H29" s="244">
        <f t="shared" ref="H29:H33" si="0">F29-G29</f>
        <v>0</v>
      </c>
      <c r="I29" s="235">
        <f>F29</f>
        <v>0</v>
      </c>
      <c r="J29" s="244">
        <f t="shared" ref="J29:J33" si="1">F29-I29</f>
        <v>0</v>
      </c>
      <c r="K29" s="235">
        <f>F29</f>
        <v>0</v>
      </c>
      <c r="L29" s="244">
        <f t="shared" ref="L29:L33" si="2">F29-K29</f>
        <v>0</v>
      </c>
      <c r="M29" s="235">
        <f>F29</f>
        <v>0</v>
      </c>
      <c r="N29" s="244">
        <f t="shared" ref="N29:N34" si="3">F29-M29</f>
        <v>0</v>
      </c>
      <c r="O29" s="235">
        <f>$F$29</f>
        <v>0</v>
      </c>
      <c r="P29" s="244">
        <f t="shared" ref="P29:P34" si="4">F29-O29</f>
        <v>0</v>
      </c>
      <c r="Q29" s="235">
        <f>$F$29</f>
        <v>0</v>
      </c>
      <c r="R29" s="235">
        <f>F29-Q29</f>
        <v>0</v>
      </c>
    </row>
    <row r="30" spans="1:18" ht="19.899999999999999" customHeight="1">
      <c r="A30" s="402" t="s">
        <v>85</v>
      </c>
      <c r="B30" s="159">
        <v>8.6165048543689324E-2</v>
      </c>
      <c r="C30" s="403">
        <v>0</v>
      </c>
      <c r="D30" s="403">
        <f>B30*C30</f>
        <v>0</v>
      </c>
      <c r="E30" s="403">
        <v>0</v>
      </c>
      <c r="F30" s="404">
        <f>E30*C30*B30</f>
        <v>0</v>
      </c>
      <c r="G30" s="403">
        <f>F30</f>
        <v>0</v>
      </c>
      <c r="H30" s="404">
        <f t="shared" si="0"/>
        <v>0</v>
      </c>
      <c r="I30" s="403">
        <f>F30</f>
        <v>0</v>
      </c>
      <c r="J30" s="404">
        <f t="shared" si="1"/>
        <v>0</v>
      </c>
      <c r="K30" s="403">
        <f>F30</f>
        <v>0</v>
      </c>
      <c r="L30" s="404">
        <f t="shared" si="2"/>
        <v>0</v>
      </c>
      <c r="M30" s="403">
        <f>$F$30</f>
        <v>0</v>
      </c>
      <c r="N30" s="404">
        <f t="shared" si="3"/>
        <v>0</v>
      </c>
      <c r="O30" s="403">
        <f t="shared" ref="O30:Q34" si="5">$F$29</f>
        <v>0</v>
      </c>
      <c r="P30" s="404">
        <f t="shared" si="4"/>
        <v>0</v>
      </c>
      <c r="Q30" s="403">
        <f>$F$29</f>
        <v>0</v>
      </c>
      <c r="R30" s="403">
        <f t="shared" ref="R30:R33" si="6">F30-Q30</f>
        <v>0</v>
      </c>
    </row>
    <row r="31" spans="1:18" ht="19.899999999999999" customHeight="1">
      <c r="A31" s="401" t="s">
        <v>86</v>
      </c>
      <c r="B31" s="166">
        <v>0.49150485436893204</v>
      </c>
      <c r="C31" s="236">
        <v>6.4197530864197536E-2</v>
      </c>
      <c r="D31" s="235">
        <f>B31*C31</f>
        <v>3.1553398058252427E-2</v>
      </c>
      <c r="E31" s="235">
        <f>MEDIAN(1,5)/100</f>
        <v>0.03</v>
      </c>
      <c r="F31" s="244">
        <f>E31*C31*B31</f>
        <v>9.4660194174757287E-4</v>
      </c>
      <c r="G31" s="235">
        <f>F31</f>
        <v>9.4660194174757287E-4</v>
      </c>
      <c r="H31" s="244">
        <f t="shared" si="0"/>
        <v>0</v>
      </c>
      <c r="I31" s="235">
        <f>F31</f>
        <v>9.4660194174757287E-4</v>
      </c>
      <c r="J31" s="244">
        <f t="shared" si="1"/>
        <v>0</v>
      </c>
      <c r="K31" s="235">
        <f>$F$31</f>
        <v>9.4660194174757287E-4</v>
      </c>
      <c r="L31" s="244">
        <f t="shared" si="2"/>
        <v>0</v>
      </c>
      <c r="M31" s="235">
        <f>$F$30</f>
        <v>0</v>
      </c>
      <c r="N31" s="244">
        <f t="shared" si="3"/>
        <v>9.4660194174757287E-4</v>
      </c>
      <c r="O31" s="235">
        <f t="shared" si="5"/>
        <v>0</v>
      </c>
      <c r="P31" s="244">
        <f t="shared" si="4"/>
        <v>9.4660194174757287E-4</v>
      </c>
      <c r="Q31" s="235">
        <f>$F$29</f>
        <v>0</v>
      </c>
      <c r="R31" s="235">
        <f t="shared" si="6"/>
        <v>9.4660194174757287E-4</v>
      </c>
    </row>
    <row r="32" spans="1:18" ht="19.899999999999999" customHeight="1">
      <c r="A32" s="402" t="s">
        <v>87</v>
      </c>
      <c r="B32" s="159">
        <v>0.1553398058252427</v>
      </c>
      <c r="C32" s="403">
        <v>0.1796875</v>
      </c>
      <c r="D32" s="403">
        <f t="shared" ref="D32:D34" si="7">B32*C32</f>
        <v>2.7912621359223299E-2</v>
      </c>
      <c r="E32" s="403">
        <f>MEDIAN(6,15)/100</f>
        <v>0.105</v>
      </c>
      <c r="F32" s="404">
        <f t="shared" ref="F32:F33" si="8">E32*C32*B32</f>
        <v>2.9308252427184462E-3</v>
      </c>
      <c r="G32" s="403">
        <f>F32</f>
        <v>2.9308252427184462E-3</v>
      </c>
      <c r="H32" s="404">
        <f t="shared" si="0"/>
        <v>0</v>
      </c>
      <c r="I32" s="403">
        <f>$F$32</f>
        <v>2.9308252427184462E-3</v>
      </c>
      <c r="J32" s="404">
        <f t="shared" si="1"/>
        <v>0</v>
      </c>
      <c r="K32" s="403">
        <f>$F$31</f>
        <v>9.4660194174757287E-4</v>
      </c>
      <c r="L32" s="404">
        <f t="shared" si="2"/>
        <v>1.9842233009708735E-3</v>
      </c>
      <c r="M32" s="403">
        <f>$F$30</f>
        <v>0</v>
      </c>
      <c r="N32" s="404">
        <f t="shared" si="3"/>
        <v>2.9308252427184462E-3</v>
      </c>
      <c r="O32" s="403">
        <f t="shared" si="5"/>
        <v>0</v>
      </c>
      <c r="P32" s="404">
        <f t="shared" si="4"/>
        <v>2.9308252427184462E-3</v>
      </c>
      <c r="Q32" s="403">
        <f>$F$29</f>
        <v>0</v>
      </c>
      <c r="R32" s="403">
        <f t="shared" si="6"/>
        <v>2.9308252427184462E-3</v>
      </c>
    </row>
    <row r="33" spans="1:22" ht="19.899999999999999" customHeight="1">
      <c r="A33" s="401" t="s">
        <v>88</v>
      </c>
      <c r="B33" s="166">
        <v>9.2233009708737865E-2</v>
      </c>
      <c r="C33" s="236">
        <v>0.38157894736842107</v>
      </c>
      <c r="D33" s="235">
        <f t="shared" si="7"/>
        <v>3.5194174757281559E-2</v>
      </c>
      <c r="E33" s="235">
        <f>MEDIAN(16,40)/100</f>
        <v>0.28000000000000003</v>
      </c>
      <c r="F33" s="244">
        <f t="shared" si="8"/>
        <v>9.8543689320388355E-3</v>
      </c>
      <c r="G33" s="235">
        <f>$F$33</f>
        <v>9.8543689320388355E-3</v>
      </c>
      <c r="H33" s="244">
        <f t="shared" si="0"/>
        <v>0</v>
      </c>
      <c r="I33" s="235">
        <f>$F$32</f>
        <v>2.9308252427184462E-3</v>
      </c>
      <c r="J33" s="244">
        <f t="shared" si="1"/>
        <v>6.9235436893203897E-3</v>
      </c>
      <c r="K33" s="235">
        <f>$F$31</f>
        <v>9.4660194174757287E-4</v>
      </c>
      <c r="L33" s="244">
        <f t="shared" si="2"/>
        <v>8.9077669902912632E-3</v>
      </c>
      <c r="M33" s="235">
        <f>$F$30</f>
        <v>0</v>
      </c>
      <c r="N33" s="244">
        <f t="shared" si="3"/>
        <v>9.8543689320388355E-3</v>
      </c>
      <c r="O33" s="235">
        <f t="shared" si="5"/>
        <v>0</v>
      </c>
      <c r="P33" s="244">
        <f t="shared" si="4"/>
        <v>9.8543689320388355E-3</v>
      </c>
      <c r="Q33" s="235">
        <f>$F$29</f>
        <v>0</v>
      </c>
      <c r="R33" s="235">
        <f t="shared" si="6"/>
        <v>9.8543689320388355E-3</v>
      </c>
    </row>
    <row r="34" spans="1:22" ht="19.899999999999999" customHeight="1">
      <c r="A34" s="405" t="s">
        <v>89</v>
      </c>
      <c r="B34" s="406">
        <v>0.13592233009708737</v>
      </c>
      <c r="C34" s="407">
        <v>0.32142857142857145</v>
      </c>
      <c r="D34" s="407">
        <f t="shared" si="7"/>
        <v>4.3689320388349516E-2</v>
      </c>
      <c r="E34" s="407">
        <f>MEDIAN(41,100)/100</f>
        <v>0.70499999999999996</v>
      </c>
      <c r="F34" s="408">
        <f>E34*C34*B34</f>
        <v>3.0800970873786408E-2</v>
      </c>
      <c r="G34" s="407">
        <f>$F$33</f>
        <v>9.8543689320388355E-3</v>
      </c>
      <c r="H34" s="408">
        <f>F34-G34</f>
        <v>2.0946601941747571E-2</v>
      </c>
      <c r="I34" s="407">
        <f>$F$32</f>
        <v>2.9308252427184462E-3</v>
      </c>
      <c r="J34" s="408">
        <f>F34-I34</f>
        <v>2.7870145631067961E-2</v>
      </c>
      <c r="K34" s="409">
        <f>$F$31</f>
        <v>9.4660194174757287E-4</v>
      </c>
      <c r="L34" s="408">
        <f>F34-K34</f>
        <v>2.9854368932038834E-2</v>
      </c>
      <c r="M34" s="409">
        <f>$F$30</f>
        <v>0</v>
      </c>
      <c r="N34" s="408">
        <f t="shared" si="3"/>
        <v>3.0800970873786408E-2</v>
      </c>
      <c r="O34" s="409">
        <f>$F$29</f>
        <v>0</v>
      </c>
      <c r="P34" s="408">
        <f t="shared" si="4"/>
        <v>3.0800970873786408E-2</v>
      </c>
      <c r="Q34" s="407">
        <f t="shared" si="5"/>
        <v>0</v>
      </c>
      <c r="R34" s="407">
        <f>F34-Q34</f>
        <v>3.0800970873786408E-2</v>
      </c>
    </row>
    <row r="35" spans="1:22" ht="19.899999999999999" customHeight="1">
      <c r="A35" s="91" t="s">
        <v>71</v>
      </c>
      <c r="B35" s="245">
        <f>SUM(B29:B34)</f>
        <v>0.99999999999999978</v>
      </c>
      <c r="C35" s="245"/>
      <c r="D35" s="245"/>
      <c r="E35" s="245"/>
      <c r="F35" s="88">
        <f>SUM(F29:F34)</f>
        <v>4.4532766990291267E-2</v>
      </c>
      <c r="G35" s="18"/>
      <c r="H35" s="88">
        <f>SUM(H29:H34)</f>
        <v>2.0946601941747571E-2</v>
      </c>
      <c r="I35" s="18"/>
      <c r="J35" s="88">
        <f>SUM(J29:J34)</f>
        <v>3.479368932038835E-2</v>
      </c>
      <c r="K35" s="18"/>
      <c r="L35" s="88">
        <f>SUM(L29:L34)</f>
        <v>4.0746359223300971E-2</v>
      </c>
      <c r="M35" s="18"/>
      <c r="N35" s="88">
        <f>SUM(N29:N34)</f>
        <v>4.4532766990291267E-2</v>
      </c>
      <c r="O35" s="18"/>
      <c r="P35" s="88">
        <f>SUM(P29:P34)</f>
        <v>4.4532766990291267E-2</v>
      </c>
      <c r="Q35" s="18"/>
      <c r="R35" s="154">
        <f>SUM(R29:R34)</f>
        <v>4.4532766990291267E-2</v>
      </c>
    </row>
    <row r="36" spans="1:22" ht="19.899999999999999" customHeight="1" thickBot="1">
      <c r="A36" s="379" t="s">
        <v>1491</v>
      </c>
      <c r="B36" s="380"/>
      <c r="C36" s="380"/>
      <c r="D36" s="381"/>
      <c r="E36" s="382"/>
      <c r="F36" s="383"/>
      <c r="G36" s="384"/>
      <c r="H36" s="383">
        <f>H35/F35</f>
        <v>0.47036380978334913</v>
      </c>
      <c r="I36" s="385"/>
      <c r="J36" s="383">
        <f>J35/F35</f>
        <v>0.7813053549529908</v>
      </c>
      <c r="K36" s="385"/>
      <c r="L36" s="386">
        <f>L35/F35</f>
        <v>0.91497479220602251</v>
      </c>
      <c r="M36" s="384"/>
      <c r="N36" s="383">
        <f>N35/F35</f>
        <v>1</v>
      </c>
      <c r="O36" s="384"/>
      <c r="P36" s="383">
        <f>P35/F35</f>
        <v>1</v>
      </c>
      <c r="Q36" s="384"/>
      <c r="R36" s="385">
        <f>R35/F35</f>
        <v>1</v>
      </c>
    </row>
    <row r="37" spans="1:22" s="13" customFormat="1" ht="19.899999999999999" customHeight="1">
      <c r="A37" s="246" t="s">
        <v>1560</v>
      </c>
      <c r="F37" s="247"/>
      <c r="G37" s="19"/>
      <c r="H37" s="6"/>
      <c r="S37" s="7"/>
      <c r="T37" s="243"/>
    </row>
    <row r="38" spans="1:22" s="13" customFormat="1" ht="19.899999999999999" customHeight="1">
      <c r="A38" s="175" t="s">
        <v>1436</v>
      </c>
      <c r="S38" s="7"/>
    </row>
    <row r="39" spans="1:22" ht="19.899999999999999" customHeight="1">
      <c r="B39" s="7"/>
      <c r="C39" s="7"/>
      <c r="D39" s="7"/>
      <c r="E39" s="7"/>
      <c r="F39" s="7"/>
      <c r="G39" s="7"/>
      <c r="H39" s="7"/>
      <c r="J39" s="175"/>
      <c r="K39" s="175"/>
      <c r="L39" s="175"/>
      <c r="M39" s="175"/>
      <c r="N39" s="175"/>
      <c r="O39" s="175"/>
      <c r="P39" s="175"/>
      <c r="Q39" s="175"/>
      <c r="R39" s="175"/>
      <c r="T39" s="175"/>
      <c r="U39" s="175"/>
      <c r="V39" s="175"/>
    </row>
    <row r="40" spans="1:22" ht="19.899999999999999" customHeight="1">
      <c r="A40" s="12" t="s">
        <v>94</v>
      </c>
      <c r="B40" s="217"/>
      <c r="C40" s="217"/>
      <c r="D40" s="217"/>
      <c r="E40" s="217"/>
      <c r="F40" s="7"/>
      <c r="G40" s="7"/>
      <c r="H40" s="7"/>
      <c r="J40" s="175"/>
      <c r="K40" s="175"/>
      <c r="L40" s="175"/>
      <c r="M40" s="175"/>
      <c r="N40" s="175"/>
      <c r="O40" s="175"/>
      <c r="P40" s="175"/>
      <c r="Q40" s="175"/>
      <c r="R40" s="175"/>
      <c r="T40" s="175"/>
      <c r="U40" s="175"/>
      <c r="V40" s="175"/>
    </row>
    <row r="41" spans="1:22" ht="19.899999999999999" customHeight="1">
      <c r="A41" s="7" t="s">
        <v>49</v>
      </c>
      <c r="B41" s="7"/>
      <c r="C41" s="7"/>
      <c r="E41" s="13"/>
      <c r="F41" s="6"/>
      <c r="G41" s="241"/>
      <c r="H41" s="7"/>
      <c r="J41" s="175"/>
      <c r="K41" s="175"/>
      <c r="L41" s="175"/>
      <c r="M41" s="175"/>
      <c r="N41" s="175"/>
      <c r="O41" s="175"/>
      <c r="P41" s="175"/>
      <c r="Q41" s="175"/>
      <c r="R41" s="175"/>
      <c r="T41" s="175"/>
      <c r="U41" s="175"/>
      <c r="V41" s="175"/>
    </row>
    <row r="42" spans="1:22" ht="19.899999999999999" customHeight="1">
      <c r="A42" s="7" t="s">
        <v>1686</v>
      </c>
      <c r="B42" s="7"/>
      <c r="C42" s="7"/>
      <c r="E42" s="13"/>
      <c r="F42" s="6"/>
      <c r="G42" s="241"/>
      <c r="H42" s="7"/>
      <c r="J42" s="175"/>
      <c r="K42" s="175"/>
      <c r="L42" s="175"/>
      <c r="M42" s="175"/>
      <c r="N42" s="175"/>
      <c r="O42" s="175"/>
      <c r="P42" s="175"/>
      <c r="Q42" s="175"/>
      <c r="R42" s="175"/>
      <c r="S42" s="175"/>
      <c r="T42" s="175"/>
      <c r="U42" s="175"/>
      <c r="V42" s="175"/>
    </row>
    <row r="43" spans="1:22" ht="19.899999999999999" customHeight="1" thickBot="1">
      <c r="B43" s="7"/>
      <c r="C43" s="13"/>
      <c r="D43" s="248"/>
      <c r="E43" s="7"/>
      <c r="F43" s="7"/>
      <c r="J43" s="175"/>
      <c r="K43" s="175"/>
      <c r="L43" s="175"/>
      <c r="M43" s="175"/>
      <c r="N43" s="175"/>
      <c r="O43" s="175"/>
      <c r="P43" s="175"/>
      <c r="Q43" s="175"/>
      <c r="R43" s="175"/>
      <c r="S43" s="175"/>
      <c r="T43" s="175"/>
      <c r="U43" s="175"/>
      <c r="V43" s="175"/>
    </row>
    <row r="44" spans="1:22" s="175" customFormat="1" ht="30" customHeight="1">
      <c r="A44" s="393" t="s">
        <v>25</v>
      </c>
      <c r="B44" s="399"/>
      <c r="C44" s="394" t="s">
        <v>1253</v>
      </c>
      <c r="D44" s="394" t="s">
        <v>1197</v>
      </c>
      <c r="E44" s="394" t="s">
        <v>1593</v>
      </c>
      <c r="F44" s="394" t="s">
        <v>1196</v>
      </c>
      <c r="G44" s="394" t="s">
        <v>1195</v>
      </c>
      <c r="H44" s="535" t="s">
        <v>1199</v>
      </c>
      <c r="I44" s="394" t="s">
        <v>1689</v>
      </c>
      <c r="J44" s="7"/>
    </row>
    <row r="45" spans="1:22" s="175" customFormat="1" ht="19.5" customHeight="1">
      <c r="A45" s="160" t="s">
        <v>9</v>
      </c>
      <c r="B45" s="650"/>
      <c r="C45" s="15">
        <f>'Summary '!B22</f>
        <v>0.8</v>
      </c>
      <c r="D45" s="15">
        <f>'Summary '!C22</f>
        <v>0.85</v>
      </c>
      <c r="E45" s="15">
        <f>'Summary '!D22</f>
        <v>0.85</v>
      </c>
      <c r="F45" s="15">
        <f>'Summary '!E22</f>
        <v>0.9</v>
      </c>
      <c r="G45" s="15">
        <f>'Summary '!F22</f>
        <v>0.95</v>
      </c>
      <c r="H45" s="546">
        <f>'Summary '!G22</f>
        <v>0.95</v>
      </c>
      <c r="I45" s="15">
        <f>'Summary '!H22</f>
        <v>0.95</v>
      </c>
      <c r="J45" s="7"/>
    </row>
    <row r="46" spans="1:22" s="175" customFormat="1" ht="19.5" customHeight="1">
      <c r="A46" s="22" t="s">
        <v>63</v>
      </c>
      <c r="B46" s="196"/>
      <c r="C46" s="15"/>
      <c r="D46" s="15"/>
      <c r="E46" s="15"/>
      <c r="F46" s="15"/>
      <c r="G46" s="15"/>
      <c r="H46" s="546"/>
      <c r="I46" s="15"/>
      <c r="J46" s="7"/>
    </row>
    <row r="47" spans="1:22" s="175" customFormat="1" ht="19.5" customHeight="1">
      <c r="A47" s="158" t="s">
        <v>27</v>
      </c>
      <c r="B47" s="192"/>
      <c r="C47" s="159">
        <f>'Summary '!B28</f>
        <v>0.96168825000000002</v>
      </c>
      <c r="D47" s="159">
        <f>'Summary '!C28</f>
        <v>0.91394361999999996</v>
      </c>
      <c r="E47" s="159">
        <f>'Summary '!D28</f>
        <v>0.89534824999999996</v>
      </c>
      <c r="F47" s="159">
        <f>'Summary '!E28</f>
        <v>0.79069649999999991</v>
      </c>
      <c r="G47" s="159">
        <f>'Summary '!F28</f>
        <v>0.46648299999999998</v>
      </c>
      <c r="H47" s="547">
        <f>'Summary '!G28</f>
        <v>0.32776899999999998</v>
      </c>
      <c r="I47" s="159">
        <f>'Summary '!H28</f>
        <v>0.95199999999999996</v>
      </c>
      <c r="J47" s="7"/>
    </row>
    <row r="48" spans="1:22" s="175" customFormat="1" ht="19.5" customHeight="1">
      <c r="A48" s="23" t="s">
        <v>64</v>
      </c>
      <c r="B48" s="196"/>
      <c r="C48" s="15"/>
      <c r="D48" s="15"/>
      <c r="E48" s="15"/>
      <c r="F48" s="15"/>
      <c r="G48" s="15"/>
      <c r="H48" s="546"/>
      <c r="I48" s="15"/>
      <c r="J48" s="7"/>
    </row>
    <row r="49" spans="1:23" s="175" customFormat="1" ht="19.5" customHeight="1" thickBot="1">
      <c r="A49" s="387" t="s">
        <v>26</v>
      </c>
      <c r="B49" s="202"/>
      <c r="C49" s="384">
        <f>C47*C45*'Summary '!$A$61</f>
        <v>0.76935060000000011</v>
      </c>
      <c r="D49" s="384">
        <f>D47*D45*'Summary '!$A$61</f>
        <v>0.77685207699999992</v>
      </c>
      <c r="E49" s="384">
        <f>E47*E45*'Summary '!$A$61</f>
        <v>0.76104601249999992</v>
      </c>
      <c r="F49" s="384">
        <f>F47*F45*'Summary '!$A$61</f>
        <v>0.71162684999999992</v>
      </c>
      <c r="G49" s="384">
        <f>G47*G45*'Summary '!$A$61</f>
        <v>0.44315884999999994</v>
      </c>
      <c r="H49" s="548">
        <f>H47*H45*'Summary '!$A$61</f>
        <v>0.31138054999999998</v>
      </c>
      <c r="I49" s="384">
        <f>I47*I45*'Summary '!$A$61</f>
        <v>0.90439999999999987</v>
      </c>
      <c r="J49" s="7"/>
    </row>
    <row r="50" spans="1:23" s="175" customFormat="1" ht="19.899999999999999" customHeight="1">
      <c r="A50" s="16"/>
      <c r="B50" s="17"/>
      <c r="C50" s="24"/>
      <c r="F50" s="16"/>
      <c r="G50" s="16"/>
      <c r="J50" s="7"/>
    </row>
    <row r="51" spans="1:23" ht="19.899999999999999" customHeight="1">
      <c r="A51" s="12" t="s">
        <v>91</v>
      </c>
      <c r="B51" s="230"/>
      <c r="C51" s="249"/>
      <c r="D51" s="230"/>
      <c r="E51" s="230"/>
      <c r="F51" s="230"/>
      <c r="G51" s="16"/>
      <c r="I51" s="5"/>
      <c r="K51" s="175"/>
      <c r="L51" s="175"/>
      <c r="M51" s="175"/>
      <c r="N51" s="175"/>
      <c r="O51" s="175"/>
      <c r="P51" s="175"/>
      <c r="Q51" s="175"/>
      <c r="R51" s="175"/>
      <c r="S51" s="175"/>
      <c r="T51" s="175"/>
      <c r="U51" s="175"/>
      <c r="V51" s="175"/>
      <c r="W51" s="175"/>
    </row>
    <row r="52" spans="1:23" ht="19.899999999999999" customHeight="1">
      <c r="A52" s="9" t="s">
        <v>1687</v>
      </c>
      <c r="B52" s="6"/>
      <c r="C52" s="6"/>
      <c r="D52" s="6"/>
      <c r="E52" s="6"/>
      <c r="F52" s="6"/>
      <c r="G52" s="16"/>
      <c r="I52" s="5"/>
      <c r="K52" s="175"/>
      <c r="L52" s="175"/>
      <c r="M52" s="175"/>
      <c r="N52" s="175"/>
      <c r="O52" s="175"/>
      <c r="P52" s="175"/>
      <c r="Q52" s="175"/>
      <c r="R52" s="175"/>
      <c r="S52" s="175"/>
      <c r="T52" s="175"/>
      <c r="U52" s="175"/>
      <c r="V52" s="175"/>
      <c r="W52" s="175"/>
    </row>
    <row r="53" spans="1:23" ht="19.899999999999999" customHeight="1">
      <c r="A53" s="9" t="s">
        <v>67</v>
      </c>
      <c r="B53" s="6"/>
      <c r="C53" s="6"/>
      <c r="D53" s="6"/>
      <c r="E53" s="6"/>
      <c r="F53" s="6"/>
      <c r="G53" s="6"/>
      <c r="I53" s="5"/>
      <c r="K53" s="175"/>
      <c r="L53" s="175"/>
      <c r="M53" s="175"/>
      <c r="N53" s="175"/>
      <c r="O53" s="175"/>
      <c r="P53" s="175"/>
      <c r="Q53" s="175"/>
      <c r="R53" s="175"/>
      <c r="S53" s="175"/>
      <c r="T53" s="175"/>
      <c r="U53" s="175"/>
      <c r="V53" s="175"/>
      <c r="W53" s="175"/>
    </row>
    <row r="54" spans="1:23" ht="19.899999999999999" customHeight="1" thickBot="1">
      <c r="A54" s="9"/>
      <c r="B54" s="6"/>
      <c r="C54" s="6"/>
      <c r="D54" s="13"/>
      <c r="E54" s="13"/>
      <c r="F54" s="6"/>
      <c r="G54" s="6"/>
      <c r="I54" s="5"/>
      <c r="K54" s="175"/>
      <c r="L54" s="175"/>
      <c r="M54" s="175"/>
      <c r="N54" s="175"/>
      <c r="O54" s="175"/>
      <c r="P54" s="175"/>
      <c r="Q54" s="175"/>
      <c r="R54" s="175"/>
      <c r="S54" s="175"/>
      <c r="T54" s="175"/>
      <c r="U54" s="175"/>
      <c r="V54" s="175"/>
      <c r="W54" s="175"/>
    </row>
    <row r="55" spans="1:23" ht="30" customHeight="1">
      <c r="A55" s="395"/>
      <c r="B55" s="398"/>
      <c r="C55" s="394" t="s">
        <v>1253</v>
      </c>
      <c r="D55" s="394" t="s">
        <v>1197</v>
      </c>
      <c r="E55" s="394" t="s">
        <v>1593</v>
      </c>
      <c r="F55" s="394" t="s">
        <v>1196</v>
      </c>
      <c r="G55" s="394" t="s">
        <v>1195</v>
      </c>
      <c r="H55" s="535" t="s">
        <v>1199</v>
      </c>
      <c r="I55" s="394" t="s">
        <v>1689</v>
      </c>
      <c r="K55" s="175"/>
      <c r="L55" s="175"/>
      <c r="M55" s="175"/>
      <c r="N55" s="175"/>
      <c r="O55" s="175"/>
      <c r="P55" s="175"/>
      <c r="Q55" s="175"/>
      <c r="R55" s="175"/>
      <c r="S55" s="175"/>
      <c r="T55" s="175"/>
      <c r="U55" s="175"/>
      <c r="V55" s="175"/>
      <c r="W55" s="175"/>
    </row>
    <row r="56" spans="1:23" ht="33" customHeight="1">
      <c r="A56" s="662" t="s">
        <v>1507</v>
      </c>
      <c r="B56" s="663"/>
      <c r="C56" s="163">
        <f>H36</f>
        <v>0.47036380978334913</v>
      </c>
      <c r="D56" s="163">
        <f>J36</f>
        <v>0.7813053549529908</v>
      </c>
      <c r="E56" s="163">
        <f>L36</f>
        <v>0.91497479220602251</v>
      </c>
      <c r="F56" s="163">
        <f>L36</f>
        <v>0.91497479220602251</v>
      </c>
      <c r="G56" s="163">
        <f>N36</f>
        <v>1</v>
      </c>
      <c r="H56" s="540">
        <f>P36</f>
        <v>1</v>
      </c>
      <c r="I56" s="163">
        <f>R36</f>
        <v>1</v>
      </c>
      <c r="K56" s="175"/>
      <c r="L56" s="175"/>
      <c r="M56" s="175"/>
      <c r="N56" s="175"/>
      <c r="O56" s="175"/>
      <c r="P56" s="175"/>
      <c r="Q56" s="175"/>
      <c r="R56" s="175"/>
      <c r="S56" s="175"/>
      <c r="T56" s="175"/>
      <c r="U56" s="175"/>
      <c r="V56" s="175"/>
      <c r="W56" s="175"/>
    </row>
    <row r="57" spans="1:23" ht="19.899999999999999" customHeight="1">
      <c r="A57" s="157" t="s">
        <v>63</v>
      </c>
      <c r="B57" s="210"/>
      <c r="C57" s="164"/>
      <c r="D57" s="164"/>
      <c r="E57" s="164"/>
      <c r="F57" s="164"/>
      <c r="G57" s="90"/>
      <c r="H57" s="541"/>
      <c r="I57" s="90"/>
      <c r="K57" s="175"/>
      <c r="L57" s="175"/>
      <c r="M57" s="175"/>
      <c r="N57" s="175"/>
      <c r="O57" s="175"/>
      <c r="P57" s="175"/>
      <c r="Q57" s="175"/>
      <c r="R57" s="175"/>
      <c r="S57" s="175"/>
      <c r="T57" s="175"/>
      <c r="U57" s="175"/>
      <c r="V57" s="175"/>
      <c r="W57" s="175"/>
    </row>
    <row r="58" spans="1:23" ht="19.899999999999999" customHeight="1">
      <c r="A58" s="158" t="s">
        <v>26</v>
      </c>
      <c r="B58" s="397"/>
      <c r="C58" s="410">
        <f t="shared" ref="C58:H58" si="9">C49</f>
        <v>0.76935060000000011</v>
      </c>
      <c r="D58" s="410">
        <f t="shared" si="9"/>
        <v>0.77685207699999992</v>
      </c>
      <c r="E58" s="410">
        <f t="shared" si="9"/>
        <v>0.76104601249999992</v>
      </c>
      <c r="F58" s="410">
        <f t="shared" si="9"/>
        <v>0.71162684999999992</v>
      </c>
      <c r="G58" s="410">
        <f t="shared" si="9"/>
        <v>0.44315884999999994</v>
      </c>
      <c r="H58" s="542">
        <f t="shared" si="9"/>
        <v>0.31138054999999998</v>
      </c>
      <c r="I58" s="410">
        <f t="shared" ref="I58" si="10">I49</f>
        <v>0.90439999999999987</v>
      </c>
      <c r="K58" s="175"/>
      <c r="L58" s="175"/>
      <c r="M58" s="175"/>
      <c r="N58" s="175"/>
      <c r="O58" s="175"/>
      <c r="P58" s="175"/>
      <c r="Q58" s="175"/>
      <c r="R58" s="175"/>
      <c r="S58" s="175"/>
      <c r="T58" s="175"/>
      <c r="U58" s="175"/>
      <c r="V58" s="175"/>
      <c r="W58" s="175"/>
    </row>
    <row r="59" spans="1:23" ht="19.899999999999999" customHeight="1">
      <c r="A59" s="157" t="s">
        <v>1737</v>
      </c>
      <c r="B59" s="210"/>
      <c r="C59" s="164"/>
      <c r="D59" s="164"/>
      <c r="E59" s="164"/>
      <c r="F59" s="164"/>
      <c r="G59" s="164"/>
      <c r="H59" s="543"/>
      <c r="I59" s="654">
        <v>0.33</v>
      </c>
      <c r="K59" s="175"/>
      <c r="L59" s="175"/>
      <c r="M59" s="175"/>
      <c r="N59" s="175"/>
      <c r="O59" s="175"/>
      <c r="P59" s="175"/>
      <c r="Q59" s="175"/>
      <c r="R59" s="175"/>
      <c r="S59" s="175"/>
      <c r="T59" s="175"/>
      <c r="U59" s="175"/>
      <c r="V59" s="175"/>
      <c r="W59" s="175"/>
    </row>
    <row r="60" spans="1:23" ht="19.899999999999999" customHeight="1">
      <c r="A60" s="165" t="s">
        <v>1730</v>
      </c>
      <c r="B60" s="242"/>
      <c r="C60" s="26">
        <f>C56*C58</f>
        <v>0.36187467927510558</v>
      </c>
      <c r="D60" s="26">
        <f t="shared" ref="D60:H60" si="11">D56*D58</f>
        <v>0.60695868776645312</v>
      </c>
      <c r="E60" s="26">
        <f t="shared" si="11"/>
        <v>0.69633791714640947</v>
      </c>
      <c r="F60" s="26">
        <f t="shared" si="11"/>
        <v>0.65112062920697633</v>
      </c>
      <c r="G60" s="26">
        <f t="shared" si="11"/>
        <v>0.44315884999999994</v>
      </c>
      <c r="H60" s="544">
        <f t="shared" si="11"/>
        <v>0.31138054999999998</v>
      </c>
      <c r="I60" s="26">
        <f>I56*I58*I59</f>
        <v>0.298452</v>
      </c>
      <c r="K60" s="175"/>
      <c r="L60" s="175"/>
      <c r="M60" s="175"/>
      <c r="N60" s="175"/>
      <c r="O60" s="175"/>
      <c r="P60" s="175"/>
      <c r="Q60" s="175"/>
      <c r="R60" s="175"/>
      <c r="S60" s="175"/>
      <c r="T60" s="175"/>
      <c r="U60" s="175"/>
      <c r="V60" s="175"/>
      <c r="W60" s="175"/>
    </row>
    <row r="61" spans="1:23" ht="19.899999999999999" customHeight="1" thickBot="1">
      <c r="A61" s="388" t="s">
        <v>68</v>
      </c>
      <c r="B61" s="211"/>
      <c r="C61" s="389">
        <f t="shared" ref="C61:I61" si="12">1-C60</f>
        <v>0.63812532072489447</v>
      </c>
      <c r="D61" s="389">
        <f t="shared" si="12"/>
        <v>0.39304131223354688</v>
      </c>
      <c r="E61" s="389">
        <f t="shared" si="12"/>
        <v>0.30366208285359053</v>
      </c>
      <c r="F61" s="389">
        <f t="shared" si="12"/>
        <v>0.34887937079302367</v>
      </c>
      <c r="G61" s="389">
        <f t="shared" si="12"/>
        <v>0.55684115000000012</v>
      </c>
      <c r="H61" s="545">
        <f t="shared" si="12"/>
        <v>0.68861945000000002</v>
      </c>
      <c r="I61" s="389">
        <f t="shared" si="12"/>
        <v>0.70154800000000006</v>
      </c>
      <c r="K61" s="175"/>
      <c r="L61" s="175"/>
      <c r="M61" s="175"/>
      <c r="N61" s="175"/>
      <c r="O61" s="175"/>
      <c r="P61" s="175"/>
      <c r="Q61" s="175"/>
      <c r="R61" s="175"/>
      <c r="S61" s="175"/>
      <c r="T61" s="175"/>
      <c r="U61" s="175"/>
      <c r="V61" s="175"/>
      <c r="W61" s="175"/>
    </row>
    <row r="62" spans="1:23" ht="19.899999999999999" customHeight="1">
      <c r="A62" s="13"/>
      <c r="B62" s="13"/>
      <c r="C62" s="13"/>
      <c r="D62" s="13"/>
      <c r="E62" s="13"/>
      <c r="I62" s="5"/>
      <c r="K62" s="175"/>
      <c r="L62" s="175"/>
      <c r="M62" s="175"/>
      <c r="N62" s="175"/>
      <c r="O62" s="175"/>
      <c r="P62" s="175"/>
      <c r="Q62" s="175"/>
      <c r="R62" s="175"/>
      <c r="S62" s="175"/>
      <c r="T62" s="175"/>
      <c r="U62" s="175"/>
      <c r="V62" s="175"/>
      <c r="W62" s="175"/>
    </row>
    <row r="63" spans="1:23" ht="19.899999999999999" customHeight="1">
      <c r="A63" s="12" t="s">
        <v>92</v>
      </c>
      <c r="B63" s="230"/>
      <c r="C63" s="230"/>
      <c r="D63" s="230"/>
      <c r="E63" s="230"/>
      <c r="F63" s="230"/>
      <c r="G63" s="250"/>
      <c r="I63" s="5"/>
      <c r="K63" s="175"/>
      <c r="L63" s="175"/>
      <c r="M63" s="175"/>
      <c r="N63" s="175"/>
      <c r="O63" s="175"/>
      <c r="P63" s="175"/>
      <c r="Q63" s="175"/>
      <c r="R63" s="175"/>
      <c r="S63" s="175"/>
      <c r="T63" s="175"/>
      <c r="U63" s="175"/>
      <c r="V63" s="175"/>
      <c r="W63" s="175"/>
    </row>
    <row r="64" spans="1:23" ht="19.899999999999999" customHeight="1">
      <c r="A64" s="7" t="s">
        <v>90</v>
      </c>
      <c r="B64" s="215"/>
      <c r="C64" s="215"/>
      <c r="D64" s="215"/>
      <c r="E64" s="215"/>
      <c r="F64" s="215"/>
      <c r="G64" s="215"/>
      <c r="I64" s="5"/>
      <c r="K64" s="175"/>
      <c r="L64" s="175"/>
      <c r="M64" s="175"/>
      <c r="N64" s="175"/>
      <c r="O64" s="175"/>
      <c r="P64" s="175"/>
      <c r="Q64" s="175"/>
      <c r="R64" s="175"/>
      <c r="S64" s="175"/>
      <c r="T64" s="175"/>
      <c r="U64" s="175"/>
      <c r="V64" s="175"/>
      <c r="W64" s="175"/>
    </row>
    <row r="65" spans="1:18" ht="19.5" customHeight="1" thickBot="1">
      <c r="I65" s="5"/>
      <c r="K65" s="175"/>
      <c r="L65" s="175"/>
    </row>
    <row r="66" spans="1:18" ht="30" customHeight="1">
      <c r="A66" s="395"/>
      <c r="B66" s="396" t="s">
        <v>1494</v>
      </c>
      <c r="C66" s="394" t="s">
        <v>1253</v>
      </c>
      <c r="D66" s="394" t="s">
        <v>1197</v>
      </c>
      <c r="E66" s="394" t="s">
        <v>1593</v>
      </c>
      <c r="F66" s="394" t="s">
        <v>1196</v>
      </c>
      <c r="G66" s="394" t="s">
        <v>1195</v>
      </c>
      <c r="H66" s="535" t="s">
        <v>1199</v>
      </c>
      <c r="I66" s="394" t="s">
        <v>1689</v>
      </c>
      <c r="K66" s="175"/>
      <c r="L66" s="175"/>
    </row>
    <row r="67" spans="1:18" ht="24.75" customHeight="1">
      <c r="A67" s="171" t="s">
        <v>1495</v>
      </c>
      <c r="B67" s="251">
        <f>B18</f>
        <v>0.67500000000000004</v>
      </c>
      <c r="C67" s="252">
        <f t="shared" ref="C67:H67" si="13">$B$18*C61</f>
        <v>0.43073459148930382</v>
      </c>
      <c r="D67" s="252">
        <f t="shared" si="13"/>
        <v>0.26530288575764416</v>
      </c>
      <c r="E67" s="252">
        <f t="shared" si="13"/>
        <v>0.20497190592617362</v>
      </c>
      <c r="F67" s="252">
        <f t="shared" si="13"/>
        <v>0.235493575285291</v>
      </c>
      <c r="G67" s="252">
        <f t="shared" si="13"/>
        <v>0.37586777625000012</v>
      </c>
      <c r="H67" s="536">
        <f t="shared" si="13"/>
        <v>0.46481812875000006</v>
      </c>
      <c r="I67" s="252">
        <f>$B$18*I61</f>
        <v>0.47354490000000005</v>
      </c>
      <c r="K67" s="175"/>
      <c r="L67" s="175"/>
    </row>
    <row r="68" spans="1:18" ht="25.15" customHeight="1">
      <c r="A68" s="411" t="s">
        <v>1496</v>
      </c>
      <c r="B68" s="412">
        <f>B19</f>
        <v>0.23076923076923062</v>
      </c>
      <c r="C68" s="413">
        <f>$B$19</f>
        <v>0.23076923076923062</v>
      </c>
      <c r="D68" s="413">
        <f t="shared" ref="D68:I68" si="14">$B$19</f>
        <v>0.23076923076923062</v>
      </c>
      <c r="E68" s="413">
        <f t="shared" si="14"/>
        <v>0.23076923076923062</v>
      </c>
      <c r="F68" s="413">
        <f t="shared" si="14"/>
        <v>0.23076923076923062</v>
      </c>
      <c r="G68" s="413">
        <f t="shared" si="14"/>
        <v>0.23076923076923062</v>
      </c>
      <c r="H68" s="537">
        <f t="shared" si="14"/>
        <v>0.23076923076923062</v>
      </c>
      <c r="I68" s="413">
        <f t="shared" si="14"/>
        <v>0.23076923076923062</v>
      </c>
      <c r="K68" s="175"/>
      <c r="L68" s="175"/>
    </row>
    <row r="69" spans="1:18" ht="25.15" customHeight="1">
      <c r="A69" s="172" t="s">
        <v>1481</v>
      </c>
      <c r="B69" s="156">
        <f t="shared" ref="B69:H69" si="15">1-((1-B67)*(1-B68))</f>
        <v>0.75</v>
      </c>
      <c r="C69" s="155">
        <f t="shared" si="15"/>
        <v>0.56210353191484907</v>
      </c>
      <c r="D69" s="155">
        <f t="shared" si="15"/>
        <v>0.43484837365972617</v>
      </c>
      <c r="E69" s="155">
        <f t="shared" si="15"/>
        <v>0.38843992763551805</v>
      </c>
      <c r="F69" s="155">
        <f t="shared" si="15"/>
        <v>0.41191813483483908</v>
      </c>
      <c r="G69" s="155">
        <f t="shared" si="15"/>
        <v>0.51989828942307692</v>
      </c>
      <c r="H69" s="538">
        <f t="shared" si="15"/>
        <v>0.58832163749999999</v>
      </c>
      <c r="I69" s="155">
        <f t="shared" ref="I69" si="16">1-((1-I67)*(1-I68))</f>
        <v>0.59503453846153842</v>
      </c>
      <c r="J69" s="5"/>
      <c r="K69" s="5"/>
      <c r="L69" s="5"/>
      <c r="M69" s="5"/>
      <c r="N69" s="5"/>
      <c r="O69" s="5"/>
      <c r="P69" s="5"/>
      <c r="Q69" s="5"/>
      <c r="R69" s="5"/>
    </row>
    <row r="70" spans="1:18" ht="22.5" customHeight="1" thickBot="1">
      <c r="A70" s="390" t="s">
        <v>66</v>
      </c>
      <c r="B70" s="391">
        <f>1/B69</f>
        <v>1.3333333333333333</v>
      </c>
      <c r="C70" s="392">
        <f t="shared" ref="C70:H70" si="17">1/C69</f>
        <v>1.7790316965158053</v>
      </c>
      <c r="D70" s="392">
        <f t="shared" si="17"/>
        <v>2.2996521559547363</v>
      </c>
      <c r="E70" s="392">
        <f t="shared" si="17"/>
        <v>2.5744006443599243</v>
      </c>
      <c r="F70" s="392">
        <f t="shared" si="17"/>
        <v>2.4276668479307317</v>
      </c>
      <c r="G70" s="392">
        <f t="shared" si="17"/>
        <v>1.9234531452482455</v>
      </c>
      <c r="H70" s="539">
        <f t="shared" si="17"/>
        <v>1.6997505042469223</v>
      </c>
      <c r="I70" s="392">
        <f t="shared" ref="I70" si="18">1/I69</f>
        <v>1.6805747151846002</v>
      </c>
      <c r="J70" s="253"/>
      <c r="K70" s="253"/>
      <c r="L70" s="253"/>
      <c r="M70" s="253"/>
      <c r="N70" s="253"/>
      <c r="O70" s="253"/>
      <c r="P70" s="253"/>
      <c r="Q70" s="253"/>
      <c r="R70" s="253"/>
    </row>
    <row r="71" spans="1:18" ht="25.15" customHeight="1">
      <c r="H71" s="253"/>
      <c r="I71" s="253"/>
      <c r="J71" s="253"/>
      <c r="K71" s="253"/>
      <c r="L71" s="253"/>
      <c r="M71" s="253"/>
      <c r="N71" s="253"/>
      <c r="O71" s="253"/>
      <c r="P71" s="253"/>
      <c r="Q71" s="253"/>
      <c r="R71" s="253"/>
    </row>
    <row r="72" spans="1:18" ht="19.899999999999999" customHeight="1" thickBot="1">
      <c r="A72" s="642" t="s">
        <v>1731</v>
      </c>
      <c r="B72" s="391"/>
      <c r="C72" s="643">
        <f>($B$69-C69)/$B$69</f>
        <v>0.25052862411353455</v>
      </c>
      <c r="D72" s="643">
        <f t="shared" ref="D72:I72" si="19">($B$69-D69)/$B$69</f>
        <v>0.42020216845369845</v>
      </c>
      <c r="E72" s="643">
        <f t="shared" si="19"/>
        <v>0.48208009648597594</v>
      </c>
      <c r="F72" s="643">
        <f t="shared" si="19"/>
        <v>0.45077582022021456</v>
      </c>
      <c r="G72" s="643">
        <f t="shared" si="19"/>
        <v>0.30680228076923077</v>
      </c>
      <c r="H72" s="644">
        <f t="shared" si="19"/>
        <v>0.21557115000000002</v>
      </c>
      <c r="I72" s="643">
        <f t="shared" si="19"/>
        <v>0.20662061538461543</v>
      </c>
    </row>
    <row r="73" spans="1:18" ht="19.899999999999999" customHeight="1">
      <c r="H73" s="7"/>
    </row>
  </sheetData>
  <sheetProtection algorithmName="SHA-512" hashValue="mtyheyC8AOlxSuBe6NBAs6PgTVNi2bdDVWik8hBM1WGWK7Jcf6advG1FKU/wfo1gSQ+L29r07b7AuYYMYJwrrg==" saltValue="Fbr2+9icoTcTbHiOx170wA==" spinCount="100000" sheet="1" objects="1" scenarios="1"/>
  <mergeCells count="7">
    <mergeCell ref="Q26:R26"/>
    <mergeCell ref="A56:B56"/>
    <mergeCell ref="O26:P26"/>
    <mergeCell ref="M26:N26"/>
    <mergeCell ref="K26:L26"/>
    <mergeCell ref="I26:J26"/>
    <mergeCell ref="G26:H26"/>
  </mergeCells>
  <pageMargins left="0.7" right="0.7" top="0.75" bottom="0.75" header="0.3" footer="0.3"/>
  <pageSetup paperSize="9" orientation="portrait" horizontalDpi="4294967293" verticalDpi="4294967293" r:id="rId1"/>
  <ignoredErrors>
    <ignoredError sqref="A29:A34"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W158"/>
  <sheetViews>
    <sheetView topLeftCell="A109" zoomScale="80" zoomScaleNormal="80" workbookViewId="0">
      <selection activeCell="K133" sqref="K133"/>
    </sheetView>
  </sheetViews>
  <sheetFormatPr defaultColWidth="8.875" defaultRowHeight="14.25"/>
  <cols>
    <col min="1" max="1" width="48.625" style="175" customWidth="1"/>
    <col min="2" max="4" width="17.75" style="174" customWidth="1"/>
    <col min="5" max="10" width="17.75" style="175" customWidth="1"/>
    <col min="11" max="11" width="15" style="175" customWidth="1"/>
    <col min="12" max="14" width="14.875" style="175" customWidth="1"/>
    <col min="15" max="16" width="14.75" style="175" customWidth="1"/>
    <col min="17" max="17" width="11.75" style="175" customWidth="1"/>
    <col min="18" max="18" width="8.875" style="175" customWidth="1"/>
    <col min="19" max="16384" width="8.875" style="175"/>
  </cols>
  <sheetData>
    <row r="1" spans="1:12" ht="18">
      <c r="A1" s="173" t="s">
        <v>1522</v>
      </c>
    </row>
    <row r="3" spans="1:12" ht="16.5" thickBot="1">
      <c r="A3" s="373" t="s">
        <v>1517</v>
      </c>
      <c r="B3" s="374"/>
      <c r="C3" s="374"/>
      <c r="D3" s="374"/>
      <c r="E3" s="375"/>
    </row>
    <row r="4" spans="1:12" ht="15.75">
      <c r="A4" s="176"/>
      <c r="B4" s="655" t="s">
        <v>1210</v>
      </c>
      <c r="C4" s="656"/>
      <c r="D4" s="656"/>
      <c r="E4" s="656"/>
      <c r="F4" s="656"/>
      <c r="G4" s="656"/>
      <c r="H4" s="656"/>
      <c r="I4" s="656"/>
    </row>
    <row r="5" spans="1:12" ht="31.5" customHeight="1">
      <c r="A5" s="177" t="s">
        <v>15</v>
      </c>
      <c r="B5" s="564" t="s">
        <v>1209</v>
      </c>
      <c r="C5" s="178" t="s">
        <v>1253</v>
      </c>
      <c r="D5" s="178" t="s">
        <v>1197</v>
      </c>
      <c r="E5" s="523" t="s">
        <v>1593</v>
      </c>
      <c r="F5" s="178" t="s">
        <v>1196</v>
      </c>
      <c r="G5" s="178" t="s">
        <v>1195</v>
      </c>
      <c r="H5" s="551" t="s">
        <v>1199</v>
      </c>
      <c r="I5" s="523" t="s">
        <v>1689</v>
      </c>
      <c r="K5" s="179" t="s">
        <v>10</v>
      </c>
      <c r="L5" s="179"/>
    </row>
    <row r="6" spans="1:12" ht="16.5" customHeight="1">
      <c r="A6" s="180" t="s">
        <v>12</v>
      </c>
      <c r="B6" s="565">
        <v>30000</v>
      </c>
      <c r="C6" s="463">
        <v>30000</v>
      </c>
      <c r="D6" s="463">
        <v>30000</v>
      </c>
      <c r="E6" s="463">
        <v>30000</v>
      </c>
      <c r="F6" s="463">
        <v>30000</v>
      </c>
      <c r="G6" s="463">
        <v>40000</v>
      </c>
      <c r="H6" s="552">
        <v>50000</v>
      </c>
      <c r="I6" s="463">
        <v>50000</v>
      </c>
      <c r="K6" s="182" t="s">
        <v>1509</v>
      </c>
      <c r="L6" s="182"/>
    </row>
    <row r="7" spans="1:12" ht="16.5" customHeight="1">
      <c r="A7" s="278" t="s">
        <v>1608</v>
      </c>
      <c r="B7" s="566">
        <v>0</v>
      </c>
      <c r="C7" s="464">
        <f>C31</f>
        <v>29487.179487179488</v>
      </c>
      <c r="D7" s="464">
        <f t="shared" ref="D7:E7" si="0">D31</f>
        <v>66153.846153846156</v>
      </c>
      <c r="E7" s="464">
        <f t="shared" si="0"/>
        <v>80512.820512820515</v>
      </c>
      <c r="F7" s="464">
        <f>F31</f>
        <v>161025.64102564103</v>
      </c>
      <c r="G7" s="464">
        <f>G31</f>
        <v>410512.8205128205</v>
      </c>
      <c r="H7" s="553">
        <f>H31</f>
        <v>517179.48717948719</v>
      </c>
      <c r="I7" s="464">
        <f>I31</f>
        <v>16666.666666666664</v>
      </c>
      <c r="K7" s="182" t="s">
        <v>1510</v>
      </c>
      <c r="L7" s="182"/>
    </row>
    <row r="8" spans="1:12" ht="16.5" customHeight="1">
      <c r="A8" s="277" t="s">
        <v>11</v>
      </c>
      <c r="B8" s="565">
        <v>5000</v>
      </c>
      <c r="C8" s="463">
        <v>5000</v>
      </c>
      <c r="D8" s="463">
        <v>5000</v>
      </c>
      <c r="E8" s="463">
        <v>5000</v>
      </c>
      <c r="F8" s="463">
        <v>5000</v>
      </c>
      <c r="G8" s="463">
        <v>5000</v>
      </c>
      <c r="H8" s="552">
        <v>5000</v>
      </c>
      <c r="I8" s="463">
        <v>5000</v>
      </c>
      <c r="K8" s="185" t="s">
        <v>16</v>
      </c>
      <c r="L8" s="185"/>
    </row>
    <row r="9" spans="1:12" ht="16.5" customHeight="1">
      <c r="A9" s="183" t="s">
        <v>14</v>
      </c>
      <c r="B9" s="566">
        <v>5000</v>
      </c>
      <c r="C9" s="464">
        <v>5000</v>
      </c>
      <c r="D9" s="464">
        <v>5000</v>
      </c>
      <c r="E9" s="464">
        <v>5000</v>
      </c>
      <c r="F9" s="464">
        <v>5000</v>
      </c>
      <c r="G9" s="464">
        <v>5000</v>
      </c>
      <c r="H9" s="553">
        <v>5000</v>
      </c>
      <c r="I9" s="464">
        <v>5000</v>
      </c>
      <c r="K9" s="185" t="s">
        <v>99</v>
      </c>
      <c r="L9" s="185"/>
    </row>
    <row r="10" spans="1:12" ht="16.5" customHeight="1">
      <c r="A10" s="277" t="s">
        <v>100</v>
      </c>
      <c r="B10" s="565">
        <v>20000</v>
      </c>
      <c r="C10" s="463">
        <v>20000</v>
      </c>
      <c r="D10" s="463">
        <v>30000</v>
      </c>
      <c r="E10" s="463">
        <v>35000</v>
      </c>
      <c r="F10" s="463">
        <v>40000</v>
      </c>
      <c r="G10" s="463">
        <v>50000</v>
      </c>
      <c r="H10" s="552">
        <v>50000</v>
      </c>
      <c r="I10" s="463">
        <v>50000</v>
      </c>
      <c r="K10" s="185" t="s">
        <v>1211</v>
      </c>
      <c r="L10" s="185"/>
    </row>
    <row r="11" spans="1:12" ht="16.5" customHeight="1">
      <c r="A11" s="183" t="s">
        <v>96</v>
      </c>
      <c r="B11" s="566">
        <v>15000</v>
      </c>
      <c r="C11" s="464">
        <v>20000</v>
      </c>
      <c r="D11" s="464">
        <v>30000</v>
      </c>
      <c r="E11" s="464">
        <v>35000</v>
      </c>
      <c r="F11" s="464">
        <v>40000</v>
      </c>
      <c r="G11" s="464">
        <v>50000</v>
      </c>
      <c r="H11" s="553">
        <v>50000</v>
      </c>
      <c r="I11" s="464">
        <v>50000</v>
      </c>
      <c r="K11" s="185" t="s">
        <v>97</v>
      </c>
      <c r="L11" s="185"/>
    </row>
    <row r="12" spans="1:12" ht="16.5" customHeight="1">
      <c r="A12" s="277" t="s">
        <v>13</v>
      </c>
      <c r="B12" s="565">
        <v>5000</v>
      </c>
      <c r="C12" s="463">
        <v>20000</v>
      </c>
      <c r="D12" s="463">
        <v>20000</v>
      </c>
      <c r="E12" s="463">
        <v>20000</v>
      </c>
      <c r="F12" s="463">
        <v>20000</v>
      </c>
      <c r="G12" s="463">
        <v>20000</v>
      </c>
      <c r="H12" s="552">
        <v>20000</v>
      </c>
      <c r="I12" s="463">
        <v>20000</v>
      </c>
      <c r="K12" s="185" t="s">
        <v>17</v>
      </c>
      <c r="L12" s="185"/>
    </row>
    <row r="13" spans="1:12" ht="16.5" customHeight="1">
      <c r="A13" s="183" t="s">
        <v>1617</v>
      </c>
      <c r="B13" s="566">
        <f>B42</f>
        <v>5000</v>
      </c>
      <c r="C13" s="464">
        <f t="shared" ref="C13:H13" si="1">C42</f>
        <v>120000</v>
      </c>
      <c r="D13" s="464">
        <f t="shared" si="1"/>
        <v>120000</v>
      </c>
      <c r="E13" s="464">
        <f t="shared" si="1"/>
        <v>120000</v>
      </c>
      <c r="F13" s="464">
        <f t="shared" si="1"/>
        <v>145116.42000000001</v>
      </c>
      <c r="G13" s="464">
        <f t="shared" si="1"/>
        <v>184022.04</v>
      </c>
      <c r="H13" s="553">
        <f t="shared" si="1"/>
        <v>200667.72</v>
      </c>
      <c r="I13" s="464">
        <f t="shared" ref="I13" si="2">I42</f>
        <v>109078.11840000001</v>
      </c>
      <c r="K13" s="185" t="s">
        <v>1208</v>
      </c>
      <c r="L13" s="185"/>
    </row>
    <row r="14" spans="1:12" ht="16.5" customHeight="1">
      <c r="A14" s="277" t="s">
        <v>1616</v>
      </c>
      <c r="B14" s="565">
        <v>5000</v>
      </c>
      <c r="C14" s="463">
        <v>20000</v>
      </c>
      <c r="D14" s="463">
        <v>20000</v>
      </c>
      <c r="E14" s="463">
        <v>20000</v>
      </c>
      <c r="F14" s="463">
        <v>20000</v>
      </c>
      <c r="G14" s="463">
        <v>20000</v>
      </c>
      <c r="H14" s="552">
        <v>20000</v>
      </c>
      <c r="I14" s="463">
        <v>20000</v>
      </c>
      <c r="K14" s="185" t="s">
        <v>98</v>
      </c>
      <c r="L14" s="185"/>
    </row>
    <row r="15" spans="1:12" ht="16.5" customHeight="1">
      <c r="A15" s="279" t="s">
        <v>1609</v>
      </c>
      <c r="B15" s="566">
        <f>B50</f>
        <v>250000</v>
      </c>
      <c r="C15" s="464">
        <f t="shared" ref="C15:G15" si="3">C50</f>
        <v>187367.84397161636</v>
      </c>
      <c r="D15" s="464">
        <f t="shared" si="3"/>
        <v>144949.45788657537</v>
      </c>
      <c r="E15" s="464">
        <f t="shared" si="3"/>
        <v>129479.97587850601</v>
      </c>
      <c r="F15" s="464">
        <f t="shared" si="3"/>
        <v>137306.04494494636</v>
      </c>
      <c r="G15" s="464">
        <f t="shared" si="3"/>
        <v>173299.4298076923</v>
      </c>
      <c r="H15" s="553">
        <f>H50</f>
        <v>196107.21249999999</v>
      </c>
      <c r="I15" s="464">
        <f>I50</f>
        <v>198344.84615384613</v>
      </c>
      <c r="K15" s="182" t="s">
        <v>1212</v>
      </c>
      <c r="L15" s="182"/>
    </row>
    <row r="16" spans="1:12" ht="14.25" customHeight="1" thickBot="1">
      <c r="A16" s="186" t="s">
        <v>1519</v>
      </c>
      <c r="B16" s="567">
        <f t="shared" ref="B16" si="4">SUM(B6:B15)</f>
        <v>340000</v>
      </c>
      <c r="C16" s="465">
        <f t="shared" ref="C16" si="5">SUM(C6:C15)</f>
        <v>456855.02345879585</v>
      </c>
      <c r="D16" s="465">
        <f t="shared" ref="D16:I16" si="6">SUM(D6:D15)</f>
        <v>471103.3040404215</v>
      </c>
      <c r="E16" s="465">
        <f t="shared" si="6"/>
        <v>479992.79639132653</v>
      </c>
      <c r="F16" s="465">
        <f t="shared" si="6"/>
        <v>603448.10597058735</v>
      </c>
      <c r="G16" s="465">
        <f t="shared" si="6"/>
        <v>957834.29032051284</v>
      </c>
      <c r="H16" s="554">
        <f t="shared" si="6"/>
        <v>1113954.4196794871</v>
      </c>
      <c r="I16" s="465">
        <f t="shared" si="6"/>
        <v>524089.63122051279</v>
      </c>
    </row>
    <row r="17" spans="1:16" ht="20.25" customHeight="1">
      <c r="A17" s="179"/>
      <c r="B17" s="188"/>
      <c r="C17" s="188"/>
      <c r="D17" s="188"/>
      <c r="E17" s="188"/>
      <c r="F17" s="188"/>
      <c r="G17" s="188"/>
    </row>
    <row r="18" spans="1:16" ht="14.25" customHeight="1">
      <c r="A18" s="373" t="s">
        <v>1574</v>
      </c>
      <c r="B18" s="455"/>
      <c r="C18" s="455"/>
      <c r="D18" s="455"/>
      <c r="E18" s="188"/>
      <c r="F18" s="188"/>
      <c r="G18" s="188"/>
    </row>
    <row r="19" spans="1:16" ht="14.25" customHeight="1">
      <c r="A19" s="181">
        <f>'Summary '!A31</f>
        <v>3000</v>
      </c>
      <c r="B19" s="187" t="s">
        <v>113</v>
      </c>
      <c r="C19" s="188"/>
      <c r="D19" s="188"/>
      <c r="E19" s="188"/>
      <c r="F19" s="188"/>
      <c r="G19" s="188"/>
      <c r="I19" s="181">
        <f>B130*B128+C130*C128+D130*D128+F130*F128+G130*G128+H130*H128</f>
        <v>1363.47648</v>
      </c>
    </row>
    <row r="20" spans="1:16" ht="17.25" customHeight="1">
      <c r="A20" s="181">
        <f>'Summary '!A32</f>
        <v>10</v>
      </c>
      <c r="B20" s="187" t="s">
        <v>1576</v>
      </c>
      <c r="C20" s="187"/>
      <c r="D20" s="187"/>
      <c r="E20" s="187"/>
      <c r="F20" s="187"/>
      <c r="G20" s="187"/>
    </row>
    <row r="21" spans="1:16" ht="17.25" customHeight="1" thickBot="1">
      <c r="A21" s="463">
        <f>'Summary '!A33</f>
        <v>50000</v>
      </c>
      <c r="B21" s="175" t="s">
        <v>1590</v>
      </c>
      <c r="C21" s="175"/>
      <c r="D21" s="175"/>
    </row>
    <row r="22" spans="1:16" ht="14.25" customHeight="1">
      <c r="A22" s="194"/>
      <c r="B22" s="655" t="s">
        <v>1210</v>
      </c>
      <c r="C22" s="656"/>
      <c r="D22" s="656"/>
      <c r="E22" s="656"/>
      <c r="F22" s="656"/>
      <c r="G22" s="656"/>
      <c r="H22" s="656"/>
      <c r="I22" s="656"/>
    </row>
    <row r="23" spans="1:16" ht="30" customHeight="1">
      <c r="A23" s="195"/>
      <c r="B23" s="564" t="s">
        <v>1209</v>
      </c>
      <c r="C23" s="178" t="s">
        <v>1253</v>
      </c>
      <c r="D23" s="178" t="s">
        <v>1197</v>
      </c>
      <c r="E23" s="523" t="s">
        <v>1593</v>
      </c>
      <c r="F23" s="178" t="s">
        <v>1196</v>
      </c>
      <c r="G23" s="178" t="s">
        <v>1195</v>
      </c>
      <c r="H23" s="551" t="s">
        <v>1199</v>
      </c>
      <c r="I23" s="523" t="s">
        <v>1689</v>
      </c>
    </row>
    <row r="24" spans="1:16" ht="14.25" customHeight="1">
      <c r="A24" s="457" t="s">
        <v>1570</v>
      </c>
      <c r="B24" s="568"/>
      <c r="C24" s="175"/>
      <c r="D24" s="175"/>
      <c r="H24" s="196"/>
    </row>
    <row r="25" spans="1:16" ht="14.25" customHeight="1">
      <c r="A25" s="458" t="s">
        <v>1567</v>
      </c>
      <c r="B25" s="568"/>
      <c r="C25" s="452">
        <f>'Summary '!B28</f>
        <v>0.96168825000000002</v>
      </c>
      <c r="D25" s="452">
        <f>'Summary '!C28</f>
        <v>0.91394361999999996</v>
      </c>
      <c r="E25" s="452">
        <f>'Summary '!D28</f>
        <v>0.89534824999999996</v>
      </c>
      <c r="F25" s="452">
        <f>'Summary '!E28</f>
        <v>0.79069649999999991</v>
      </c>
      <c r="G25" s="452">
        <f>'Summary '!F28</f>
        <v>0.46648299999999998</v>
      </c>
      <c r="H25" s="555">
        <f>'Summary '!G28</f>
        <v>0.32776899999999998</v>
      </c>
      <c r="I25" s="452">
        <f>'Summary '!H28</f>
        <v>0.95199999999999996</v>
      </c>
    </row>
    <row r="26" spans="1:16" ht="14.25" customHeight="1">
      <c r="A26" s="459" t="s">
        <v>1568</v>
      </c>
      <c r="B26" s="569"/>
      <c r="C26" s="184">
        <f t="shared" ref="C26:H26" si="7">ROUND($A$19-($A$19*C25),0)</f>
        <v>115</v>
      </c>
      <c r="D26" s="184">
        <f t="shared" si="7"/>
        <v>258</v>
      </c>
      <c r="E26" s="184">
        <f>ROUND($A$19-($A$19*E25),0)</f>
        <v>314</v>
      </c>
      <c r="F26" s="184">
        <f t="shared" si="7"/>
        <v>628</v>
      </c>
      <c r="G26" s="184">
        <f t="shared" si="7"/>
        <v>1601</v>
      </c>
      <c r="H26" s="556">
        <f t="shared" si="7"/>
        <v>2017</v>
      </c>
      <c r="I26" s="184">
        <f>ROUND($I$19-($I$19*I25),0)</f>
        <v>65</v>
      </c>
    </row>
    <row r="27" spans="1:16" ht="14.25" customHeight="1">
      <c r="A27" s="453" t="s">
        <v>1573</v>
      </c>
      <c r="B27" s="568"/>
      <c r="C27" s="175"/>
      <c r="D27" s="175"/>
      <c r="H27" s="196"/>
    </row>
    <row r="28" spans="1:16" ht="14.25" customHeight="1">
      <c r="A28" s="458" t="s">
        <v>1571</v>
      </c>
      <c r="B28" s="568"/>
      <c r="C28" s="181">
        <f t="shared" ref="C28:H28" si="8">C26*$A$20</f>
        <v>1150</v>
      </c>
      <c r="D28" s="181">
        <f t="shared" si="8"/>
        <v>2580</v>
      </c>
      <c r="E28" s="181">
        <f t="shared" si="8"/>
        <v>3140</v>
      </c>
      <c r="F28" s="181">
        <f t="shared" si="8"/>
        <v>6280</v>
      </c>
      <c r="G28" s="181">
        <f t="shared" si="8"/>
        <v>16010</v>
      </c>
      <c r="H28" s="557">
        <f t="shared" si="8"/>
        <v>20170</v>
      </c>
      <c r="I28" s="181">
        <f>I26*$A$20</f>
        <v>650</v>
      </c>
    </row>
    <row r="29" spans="1:16" ht="14.25" customHeight="1">
      <c r="A29" s="459" t="s">
        <v>1572</v>
      </c>
      <c r="B29" s="569"/>
      <c r="C29" s="184">
        <f>C28/37.5</f>
        <v>30.666666666666668</v>
      </c>
      <c r="D29" s="184">
        <f t="shared" ref="D29:H29" si="9">D28/37.5</f>
        <v>68.8</v>
      </c>
      <c r="E29" s="184">
        <f t="shared" si="9"/>
        <v>83.733333333333334</v>
      </c>
      <c r="F29" s="184">
        <f t="shared" si="9"/>
        <v>167.46666666666667</v>
      </c>
      <c r="G29" s="184">
        <f t="shared" si="9"/>
        <v>426.93333333333334</v>
      </c>
      <c r="H29" s="556">
        <f t="shared" si="9"/>
        <v>537.86666666666667</v>
      </c>
      <c r="I29" s="184">
        <f>I28/37.5</f>
        <v>17.333333333333332</v>
      </c>
    </row>
    <row r="30" spans="1:16" ht="14.25" customHeight="1">
      <c r="A30" s="460" t="s">
        <v>1569</v>
      </c>
      <c r="B30" s="568"/>
      <c r="C30" s="461">
        <f>C29/52</f>
        <v>0.58974358974358976</v>
      </c>
      <c r="D30" s="461">
        <f t="shared" ref="D30:H30" si="10">D29/52</f>
        <v>1.323076923076923</v>
      </c>
      <c r="E30" s="461">
        <f t="shared" si="10"/>
        <v>1.6102564102564103</v>
      </c>
      <c r="F30" s="461">
        <f t="shared" si="10"/>
        <v>3.2205128205128206</v>
      </c>
      <c r="G30" s="461">
        <f t="shared" si="10"/>
        <v>8.2102564102564095</v>
      </c>
      <c r="H30" s="558">
        <f t="shared" si="10"/>
        <v>10.343589743589744</v>
      </c>
      <c r="I30" s="461">
        <f>I29/52</f>
        <v>0.33333333333333331</v>
      </c>
    </row>
    <row r="31" spans="1:16" ht="14.25" customHeight="1" thickBot="1">
      <c r="A31" s="186" t="s">
        <v>1575</v>
      </c>
      <c r="B31" s="570"/>
      <c r="C31" s="456">
        <f>C30*$A$21</f>
        <v>29487.179487179488</v>
      </c>
      <c r="D31" s="456">
        <f t="shared" ref="D31:H31" si="11">D30*$A$21</f>
        <v>66153.846153846156</v>
      </c>
      <c r="E31" s="456">
        <f t="shared" si="11"/>
        <v>80512.820512820515</v>
      </c>
      <c r="F31" s="456">
        <f t="shared" si="11"/>
        <v>161025.64102564103</v>
      </c>
      <c r="G31" s="456">
        <f t="shared" si="11"/>
        <v>410512.8205128205</v>
      </c>
      <c r="H31" s="559">
        <f t="shared" si="11"/>
        <v>517179.48717948719</v>
      </c>
      <c r="I31" s="456">
        <f>I30*$A$21</f>
        <v>16666.666666666664</v>
      </c>
    </row>
    <row r="32" spans="1:16" ht="16.5" customHeight="1">
      <c r="B32" s="175"/>
      <c r="C32" s="175"/>
      <c r="D32" s="175"/>
      <c r="P32" s="187"/>
    </row>
    <row r="33" spans="1:9" ht="16.5" customHeight="1">
      <c r="A33" s="373" t="s">
        <v>1619</v>
      </c>
      <c r="B33" s="375"/>
      <c r="C33" s="375"/>
      <c r="D33" s="375"/>
    </row>
    <row r="34" spans="1:9" ht="16.5" customHeight="1">
      <c r="A34" s="181">
        <v>1500</v>
      </c>
      <c r="B34" s="175" t="s">
        <v>1627</v>
      </c>
      <c r="C34" s="175"/>
      <c r="D34" s="175"/>
    </row>
    <row r="35" spans="1:9" ht="16.5" customHeight="1" thickBot="1">
      <c r="A35" s="463">
        <f>'Summary '!A34</f>
        <v>80</v>
      </c>
      <c r="B35" s="175" t="s">
        <v>1615</v>
      </c>
      <c r="C35" s="175"/>
      <c r="D35" s="175"/>
    </row>
    <row r="36" spans="1:9" ht="16.5" customHeight="1">
      <c r="A36" s="194"/>
      <c r="B36" s="655" t="s">
        <v>1210</v>
      </c>
      <c r="C36" s="656"/>
      <c r="D36" s="656"/>
      <c r="E36" s="656"/>
      <c r="F36" s="656"/>
      <c r="G36" s="656"/>
      <c r="H36" s="656"/>
      <c r="I36" s="656"/>
    </row>
    <row r="37" spans="1:9" ht="29.25" customHeight="1">
      <c r="A37" s="195"/>
      <c r="B37" s="564" t="s">
        <v>1209</v>
      </c>
      <c r="C37" s="178" t="s">
        <v>1253</v>
      </c>
      <c r="D37" s="178" t="s">
        <v>1197</v>
      </c>
      <c r="E37" s="523" t="s">
        <v>1593</v>
      </c>
      <c r="F37" s="178" t="s">
        <v>1196</v>
      </c>
      <c r="G37" s="178" t="s">
        <v>1195</v>
      </c>
      <c r="H37" s="551" t="s">
        <v>1199</v>
      </c>
      <c r="I37" s="523" t="s">
        <v>1689</v>
      </c>
    </row>
    <row r="38" spans="1:9" ht="16.5" customHeight="1">
      <c r="A38" s="457" t="s">
        <v>1570</v>
      </c>
      <c r="B38" s="568"/>
      <c r="C38" s="175"/>
      <c r="D38" s="175"/>
      <c r="H38" s="196"/>
    </row>
    <row r="39" spans="1:9" ht="16.5" customHeight="1">
      <c r="A39" s="458" t="s">
        <v>1567</v>
      </c>
      <c r="B39" s="568"/>
      <c r="C39" s="452">
        <f>'Summary '!B28</f>
        <v>0.96168825000000002</v>
      </c>
      <c r="D39" s="452">
        <f>'Summary '!C28</f>
        <v>0.91394361999999996</v>
      </c>
      <c r="E39" s="452">
        <f>'Summary '!D28</f>
        <v>0.89534824999999996</v>
      </c>
      <c r="F39" s="452">
        <f>'Summary '!E28</f>
        <v>0.79069649999999991</v>
      </c>
      <c r="G39" s="452">
        <f>'Summary '!F28</f>
        <v>0.46648299999999998</v>
      </c>
      <c r="H39" s="555">
        <f>'Summary '!G28</f>
        <v>0.32776899999999998</v>
      </c>
      <c r="I39" s="452">
        <f>'Summary '!H28</f>
        <v>0.95199999999999996</v>
      </c>
    </row>
    <row r="40" spans="1:9" ht="16.5" customHeight="1">
      <c r="A40" s="453" t="s">
        <v>1618</v>
      </c>
      <c r="B40" s="568"/>
      <c r="C40" s="175"/>
      <c r="D40" s="175"/>
      <c r="H40" s="196"/>
    </row>
    <row r="41" spans="1:9" ht="16.5" customHeight="1">
      <c r="A41" s="458" t="s">
        <v>1610</v>
      </c>
      <c r="B41" s="569"/>
      <c r="C41" s="184">
        <f>A34</f>
        <v>1500</v>
      </c>
      <c r="D41" s="184">
        <f>A34</f>
        <v>1500</v>
      </c>
      <c r="E41" s="184">
        <f>A34</f>
        <v>1500</v>
      </c>
      <c r="F41" s="184">
        <f>$A$34*(1+(1-F39))</f>
        <v>1813.9552500000002</v>
      </c>
      <c r="G41" s="184">
        <f>$A$34*(1+(1-G39))</f>
        <v>2300.2755000000002</v>
      </c>
      <c r="H41" s="556">
        <f>$A$34*(1+(1-H39))</f>
        <v>2508.3465000000001</v>
      </c>
      <c r="I41" s="184">
        <f>I19</f>
        <v>1363.47648</v>
      </c>
    </row>
    <row r="42" spans="1:9" ht="16.5" customHeight="1" thickBot="1">
      <c r="A42" s="186" t="s">
        <v>1620</v>
      </c>
      <c r="B42" s="567">
        <v>5000</v>
      </c>
      <c r="C42" s="456">
        <f>C41*$A$35</f>
        <v>120000</v>
      </c>
      <c r="D42" s="456">
        <f>D41*$A$35</f>
        <v>120000</v>
      </c>
      <c r="E42" s="456">
        <f t="shared" ref="E42:H42" si="12">E41*$A$35</f>
        <v>120000</v>
      </c>
      <c r="F42" s="456">
        <f t="shared" si="12"/>
        <v>145116.42000000001</v>
      </c>
      <c r="G42" s="456">
        <f t="shared" si="12"/>
        <v>184022.04</v>
      </c>
      <c r="H42" s="559">
        <f t="shared" si="12"/>
        <v>200667.72</v>
      </c>
      <c r="I42" s="456">
        <f>I41*$A$35</f>
        <v>109078.11840000001</v>
      </c>
    </row>
    <row r="43" spans="1:9" ht="16.5" customHeight="1">
      <c r="B43" s="175"/>
      <c r="C43" s="175"/>
      <c r="D43" s="175"/>
    </row>
    <row r="44" spans="1:9" ht="16.5" customHeight="1">
      <c r="A44" s="373" t="s">
        <v>1611</v>
      </c>
      <c r="B44" s="375"/>
      <c r="C44" s="375"/>
      <c r="D44" s="375"/>
    </row>
    <row r="45" spans="1:9" ht="16.5" customHeight="1">
      <c r="A45" s="463">
        <v>250000</v>
      </c>
      <c r="B45" s="175" t="s">
        <v>1612</v>
      </c>
      <c r="C45" s="175"/>
      <c r="D45" s="175"/>
    </row>
    <row r="46" spans="1:9" ht="16.5" customHeight="1" thickBot="1">
      <c r="A46" s="181"/>
      <c r="B46" s="175" t="s">
        <v>1614</v>
      </c>
      <c r="C46" s="175"/>
      <c r="D46" s="175"/>
    </row>
    <row r="47" spans="1:9" ht="16.5" customHeight="1">
      <c r="A47" s="194"/>
      <c r="B47" s="655" t="s">
        <v>1210</v>
      </c>
      <c r="C47" s="656"/>
      <c r="D47" s="656"/>
      <c r="E47" s="656"/>
      <c r="F47" s="656"/>
      <c r="G47" s="656"/>
      <c r="H47" s="656"/>
      <c r="I47" s="656"/>
    </row>
    <row r="48" spans="1:9" ht="30" customHeight="1">
      <c r="A48" s="195"/>
      <c r="B48" s="564" t="s">
        <v>1209</v>
      </c>
      <c r="C48" s="178" t="s">
        <v>1253</v>
      </c>
      <c r="D48" s="178" t="s">
        <v>1197</v>
      </c>
      <c r="E48" s="523" t="s">
        <v>1593</v>
      </c>
      <c r="F48" s="178" t="s">
        <v>1196</v>
      </c>
      <c r="G48" s="178" t="s">
        <v>1195</v>
      </c>
      <c r="H48" s="551" t="s">
        <v>1199</v>
      </c>
      <c r="I48" s="523" t="s">
        <v>1689</v>
      </c>
    </row>
    <row r="49" spans="1:12" ht="16.5" customHeight="1">
      <c r="A49" s="459" t="s">
        <v>69</v>
      </c>
      <c r="B49" s="571"/>
      <c r="C49" s="516">
        <f>(('Calculation of risk Pi'!C69-'Calculation of risk Pi'!$B$69)/'Calculation of risk Pi'!$B$69)*-1</f>
        <v>0.25052862411353455</v>
      </c>
      <c r="D49" s="516">
        <f>(('Calculation of risk Pi'!D69-'Calculation of risk Pi'!$B$69)/'Calculation of risk Pi'!$B$69)*-1</f>
        <v>0.42020216845369845</v>
      </c>
      <c r="E49" s="516">
        <f>(('Calculation of risk Pi'!E69-'Calculation of risk Pi'!$B$69)/'Calculation of risk Pi'!$B$69)*-1</f>
        <v>0.48208009648597594</v>
      </c>
      <c r="F49" s="516">
        <f>(('Calculation of risk Pi'!F69-'Calculation of risk Pi'!$B$69)/'Calculation of risk Pi'!$B$69)*-1</f>
        <v>0.45077582022021456</v>
      </c>
      <c r="G49" s="516">
        <f>(('Calculation of risk Pi'!G69-'Calculation of risk Pi'!$B$69)/'Calculation of risk Pi'!$B$69)*-1</f>
        <v>0.30680228076923077</v>
      </c>
      <c r="H49" s="560">
        <f>(('Calculation of risk Pi'!H69-'Calculation of risk Pi'!$B$69)/'Calculation of risk Pi'!$B$69)*-1</f>
        <v>0.21557115000000002</v>
      </c>
      <c r="I49" s="516">
        <f>(('Calculation of risk Pi'!I69-'Calculation of risk Pi'!$B$69)/'Calculation of risk Pi'!$B$69)*-1</f>
        <v>0.20662061538461543</v>
      </c>
    </row>
    <row r="50" spans="1:12" ht="16.5" customHeight="1" thickBot="1">
      <c r="A50" s="186" t="s">
        <v>1613</v>
      </c>
      <c r="B50" s="572">
        <f>A45</f>
        <v>250000</v>
      </c>
      <c r="C50" s="510">
        <f>$B$50-($B$50*C49)</f>
        <v>187367.84397161636</v>
      </c>
      <c r="D50" s="510">
        <f t="shared" ref="D50:G50" si="13">$B$50-($B$50*D49)</f>
        <v>144949.45788657537</v>
      </c>
      <c r="E50" s="510">
        <f t="shared" si="13"/>
        <v>129479.97587850601</v>
      </c>
      <c r="F50" s="510">
        <f t="shared" si="13"/>
        <v>137306.04494494636</v>
      </c>
      <c r="G50" s="510">
        <f t="shared" si="13"/>
        <v>173299.4298076923</v>
      </c>
      <c r="H50" s="561">
        <f>$B$50-($B$50*H49)</f>
        <v>196107.21249999999</v>
      </c>
      <c r="I50" s="510">
        <f>$B$50-($B$50*I49)</f>
        <v>198344.84615384613</v>
      </c>
    </row>
    <row r="51" spans="1:12" ht="16.5" customHeight="1">
      <c r="B51" s="175"/>
      <c r="C51" s="175"/>
      <c r="D51" s="175"/>
    </row>
    <row r="52" spans="1:12" ht="16.5" thickBot="1">
      <c r="A52" s="373" t="s">
        <v>1516</v>
      </c>
      <c r="B52" s="374"/>
      <c r="C52" s="374"/>
      <c r="D52" s="375"/>
      <c r="H52" s="174"/>
      <c r="I52" s="174"/>
      <c r="J52" s="174"/>
      <c r="K52" s="174"/>
    </row>
    <row r="53" spans="1:12" ht="15.75">
      <c r="A53" s="176"/>
      <c r="B53" s="655" t="s">
        <v>1210</v>
      </c>
      <c r="C53" s="656"/>
      <c r="D53" s="656"/>
      <c r="E53" s="656"/>
      <c r="F53" s="656"/>
      <c r="G53" s="656"/>
      <c r="H53" s="656"/>
      <c r="I53" s="656"/>
      <c r="J53" s="174"/>
      <c r="K53" s="174"/>
    </row>
    <row r="54" spans="1:12" ht="30" customHeight="1">
      <c r="A54" s="281" t="s">
        <v>56</v>
      </c>
      <c r="B54" s="564" t="s">
        <v>1209</v>
      </c>
      <c r="C54" s="178" t="s">
        <v>1253</v>
      </c>
      <c r="D54" s="178" t="s">
        <v>1197</v>
      </c>
      <c r="E54" s="523" t="s">
        <v>1593</v>
      </c>
      <c r="F54" s="178" t="s">
        <v>1196</v>
      </c>
      <c r="G54" s="178" t="s">
        <v>1195</v>
      </c>
      <c r="H54" s="551" t="s">
        <v>1199</v>
      </c>
      <c r="I54" s="523" t="s">
        <v>1689</v>
      </c>
      <c r="J54" s="174"/>
      <c r="K54" s="174"/>
      <c r="L54" s="174"/>
    </row>
    <row r="55" spans="1:12">
      <c r="A55" s="280">
        <v>1</v>
      </c>
      <c r="B55" s="573">
        <v>0</v>
      </c>
      <c r="C55" s="466">
        <v>38000</v>
      </c>
      <c r="D55" s="466">
        <v>77000</v>
      </c>
      <c r="E55" s="466">
        <v>135000</v>
      </c>
      <c r="F55" s="466">
        <v>135000</v>
      </c>
      <c r="G55" s="466">
        <v>327000</v>
      </c>
      <c r="H55" s="562">
        <v>362000</v>
      </c>
      <c r="I55" s="466">
        <v>135000</v>
      </c>
      <c r="J55" s="174"/>
      <c r="K55" s="174"/>
      <c r="L55" s="174"/>
    </row>
    <row r="56" spans="1:12">
      <c r="A56" s="280">
        <v>2</v>
      </c>
      <c r="B56" s="565">
        <v>0</v>
      </c>
      <c r="C56" s="463">
        <f>C55/2</f>
        <v>19000</v>
      </c>
      <c r="D56" s="463">
        <f t="shared" ref="D56:H56" si="14">D55/2</f>
        <v>38500</v>
      </c>
      <c r="E56" s="463">
        <f t="shared" ref="E56" si="15">E55/2</f>
        <v>67500</v>
      </c>
      <c r="F56" s="463">
        <f t="shared" si="14"/>
        <v>67500</v>
      </c>
      <c r="G56" s="463">
        <f t="shared" si="14"/>
        <v>163500</v>
      </c>
      <c r="H56" s="552">
        <f t="shared" si="14"/>
        <v>181000</v>
      </c>
      <c r="I56" s="463">
        <f t="shared" ref="I56" si="16">I55/2</f>
        <v>67500</v>
      </c>
      <c r="J56" s="174"/>
      <c r="K56" s="174"/>
      <c r="L56" s="174"/>
    </row>
    <row r="57" spans="1:12" ht="15.75" thickBot="1">
      <c r="A57" s="186" t="s">
        <v>1520</v>
      </c>
      <c r="B57" s="574">
        <f t="shared" ref="B57:H57" si="17">SUM(B55:B56)</f>
        <v>0</v>
      </c>
      <c r="C57" s="467">
        <f t="shared" si="17"/>
        <v>57000</v>
      </c>
      <c r="D57" s="467">
        <f t="shared" si="17"/>
        <v>115500</v>
      </c>
      <c r="E57" s="467">
        <f t="shared" si="17"/>
        <v>202500</v>
      </c>
      <c r="F57" s="467">
        <f t="shared" si="17"/>
        <v>202500</v>
      </c>
      <c r="G57" s="467">
        <f t="shared" si="17"/>
        <v>490500</v>
      </c>
      <c r="H57" s="563">
        <f t="shared" si="17"/>
        <v>543000</v>
      </c>
      <c r="I57" s="467">
        <f t="shared" ref="I57" si="18">SUM(I55:I56)</f>
        <v>202500</v>
      </c>
      <c r="J57" s="174"/>
      <c r="K57" s="174"/>
      <c r="L57" s="174"/>
    </row>
    <row r="58" spans="1:12" ht="19.5" customHeight="1">
      <c r="A58" s="187"/>
      <c r="B58" s="188"/>
      <c r="C58" s="188"/>
      <c r="D58" s="188"/>
      <c r="E58" s="188"/>
      <c r="F58" s="188"/>
      <c r="G58" s="188"/>
      <c r="H58" s="174"/>
      <c r="I58" s="174"/>
      <c r="J58" s="174"/>
      <c r="K58" s="174"/>
    </row>
    <row r="59" spans="1:12" ht="15.75">
      <c r="A59" s="373" t="s">
        <v>1578</v>
      </c>
      <c r="B59" s="374"/>
      <c r="C59" s="374"/>
      <c r="D59" s="375"/>
      <c r="E59" s="187"/>
      <c r="F59" s="187"/>
      <c r="H59" s="174"/>
      <c r="I59" s="174"/>
      <c r="J59" s="174"/>
      <c r="K59" s="174"/>
    </row>
    <row r="60" spans="1:12" ht="18.75" customHeight="1"/>
    <row r="61" spans="1:12" ht="15.75">
      <c r="A61" s="499" t="s">
        <v>1577</v>
      </c>
      <c r="B61" s="499"/>
      <c r="C61" s="499"/>
      <c r="D61" s="499"/>
      <c r="E61" s="454"/>
      <c r="F61" s="454"/>
    </row>
    <row r="62" spans="1:12">
      <c r="A62" s="240">
        <v>0.5</v>
      </c>
      <c r="B62" s="175" t="s">
        <v>1596</v>
      </c>
      <c r="C62" s="175"/>
      <c r="D62" s="175"/>
    </row>
    <row r="63" spans="1:12" ht="15" thickBot="1">
      <c r="A63" s="575">
        <f>'Summary '!D38</f>
        <v>280</v>
      </c>
      <c r="B63" s="175" t="s">
        <v>1692</v>
      </c>
      <c r="C63" s="175"/>
      <c r="D63" s="175"/>
    </row>
    <row r="64" spans="1:12" ht="15.75" customHeight="1">
      <c r="A64" s="415"/>
      <c r="B64" s="680" t="s">
        <v>1528</v>
      </c>
      <c r="C64" s="681"/>
      <c r="D64" s="681"/>
      <c r="E64" s="681"/>
      <c r="F64" s="681"/>
      <c r="G64" s="682"/>
      <c r="H64" s="664" t="s">
        <v>1691</v>
      </c>
      <c r="I64" s="677" t="s">
        <v>1690</v>
      </c>
      <c r="J64" s="667" t="s">
        <v>1701</v>
      </c>
    </row>
    <row r="65" spans="1:10" ht="17.25" customHeight="1">
      <c r="A65" s="196"/>
      <c r="B65" s="683" t="s">
        <v>1526</v>
      </c>
      <c r="C65" s="684"/>
      <c r="D65" s="684"/>
      <c r="E65" s="685"/>
      <c r="F65" s="676" t="s">
        <v>1176</v>
      </c>
      <c r="G65" s="676" t="s">
        <v>1527</v>
      </c>
      <c r="H65" s="665"/>
      <c r="I65" s="678"/>
      <c r="J65" s="668"/>
    </row>
    <row r="66" spans="1:10" ht="30">
      <c r="A66" s="462" t="s">
        <v>1174</v>
      </c>
      <c r="B66" s="99" t="s">
        <v>1621</v>
      </c>
      <c r="C66" s="189" t="s">
        <v>1166</v>
      </c>
      <c r="D66" s="218" t="s">
        <v>1163</v>
      </c>
      <c r="E66" s="418" t="s">
        <v>1692</v>
      </c>
      <c r="F66" s="672"/>
      <c r="G66" s="672"/>
      <c r="H66" s="666"/>
      <c r="I66" s="679"/>
      <c r="J66" s="669"/>
    </row>
    <row r="67" spans="1:10">
      <c r="A67" s="210">
        <v>9</v>
      </c>
      <c r="B67" s="468">
        <v>221</v>
      </c>
      <c r="C67" s="469">
        <v>31</v>
      </c>
      <c r="D67" s="469">
        <v>70</v>
      </c>
      <c r="E67" s="470">
        <f>$A$63</f>
        <v>280</v>
      </c>
      <c r="F67" s="471">
        <f>SUM(B67:E67)</f>
        <v>602</v>
      </c>
      <c r="G67" s="471">
        <f t="shared" ref="G67:G72" si="19">F67*(1179/1000)</f>
        <v>709.75800000000004</v>
      </c>
      <c r="H67" s="471">
        <f t="shared" ref="H67:H72" si="20">G67*$A$62</f>
        <v>354.87900000000002</v>
      </c>
      <c r="I67" s="452">
        <v>0.5</v>
      </c>
      <c r="J67" s="512">
        <f t="shared" ref="J67:J72" si="21">G67*$I67+H67*(1-$I67)</f>
        <v>532.31850000000009</v>
      </c>
    </row>
    <row r="68" spans="1:10">
      <c r="A68" s="397">
        <v>12</v>
      </c>
      <c r="B68" s="472">
        <v>307</v>
      </c>
      <c r="C68" s="473">
        <v>38</v>
      </c>
      <c r="D68" s="473">
        <v>85</v>
      </c>
      <c r="E68" s="474">
        <f t="shared" ref="E68:E72" si="22">$A$63</f>
        <v>280</v>
      </c>
      <c r="F68" s="475">
        <f t="shared" ref="F68:F72" si="23">SUM(B68:E68)</f>
        <v>710</v>
      </c>
      <c r="G68" s="475">
        <f t="shared" si="19"/>
        <v>837.09</v>
      </c>
      <c r="H68" s="475">
        <f t="shared" si="20"/>
        <v>418.54500000000002</v>
      </c>
      <c r="I68" s="516">
        <v>0.6</v>
      </c>
      <c r="J68" s="513">
        <f t="shared" si="21"/>
        <v>669.67200000000003</v>
      </c>
    </row>
    <row r="69" spans="1:10">
      <c r="A69" s="210">
        <v>15</v>
      </c>
      <c r="B69" s="468">
        <v>452</v>
      </c>
      <c r="C69" s="469">
        <v>61</v>
      </c>
      <c r="D69" s="469">
        <v>105</v>
      </c>
      <c r="E69" s="470">
        <f t="shared" si="22"/>
        <v>280</v>
      </c>
      <c r="F69" s="471">
        <f t="shared" si="23"/>
        <v>898</v>
      </c>
      <c r="G69" s="471">
        <f t="shared" si="19"/>
        <v>1058.742</v>
      </c>
      <c r="H69" s="471">
        <f t="shared" si="20"/>
        <v>529.37099999999998</v>
      </c>
      <c r="I69" s="452">
        <v>0.7</v>
      </c>
      <c r="J69" s="514">
        <f t="shared" si="21"/>
        <v>899.93069999999989</v>
      </c>
    </row>
    <row r="70" spans="1:10">
      <c r="A70" s="397">
        <v>18</v>
      </c>
      <c r="B70" s="472">
        <v>837</v>
      </c>
      <c r="C70" s="473">
        <v>98</v>
      </c>
      <c r="D70" s="473">
        <v>146</v>
      </c>
      <c r="E70" s="474">
        <f t="shared" si="22"/>
        <v>280</v>
      </c>
      <c r="F70" s="475">
        <f t="shared" si="23"/>
        <v>1361</v>
      </c>
      <c r="G70" s="475">
        <f t="shared" si="19"/>
        <v>1604.6190000000001</v>
      </c>
      <c r="H70" s="475">
        <f t="shared" si="20"/>
        <v>802.30950000000007</v>
      </c>
      <c r="I70" s="516">
        <v>0.8</v>
      </c>
      <c r="J70" s="513">
        <f t="shared" si="21"/>
        <v>1444.1571000000001</v>
      </c>
    </row>
    <row r="71" spans="1:10">
      <c r="A71" s="210">
        <v>20</v>
      </c>
      <c r="B71" s="468">
        <v>1074</v>
      </c>
      <c r="C71" s="469">
        <v>122</v>
      </c>
      <c r="D71" s="469">
        <v>186</v>
      </c>
      <c r="E71" s="470">
        <f t="shared" si="22"/>
        <v>280</v>
      </c>
      <c r="F71" s="471">
        <f t="shared" si="23"/>
        <v>1662</v>
      </c>
      <c r="G71" s="471">
        <f t="shared" si="19"/>
        <v>1959.498</v>
      </c>
      <c r="H71" s="471">
        <f t="shared" si="20"/>
        <v>979.74900000000002</v>
      </c>
      <c r="I71" s="452">
        <v>0.9</v>
      </c>
      <c r="J71" s="514">
        <f t="shared" si="21"/>
        <v>1861.5231000000001</v>
      </c>
    </row>
    <row r="72" spans="1:10" ht="15" thickBot="1">
      <c r="A72" s="417">
        <v>22</v>
      </c>
      <c r="B72" s="476">
        <v>1332</v>
      </c>
      <c r="C72" s="477">
        <v>149</v>
      </c>
      <c r="D72" s="477">
        <v>314</v>
      </c>
      <c r="E72" s="478">
        <f t="shared" si="22"/>
        <v>280</v>
      </c>
      <c r="F72" s="479">
        <f t="shared" si="23"/>
        <v>2075</v>
      </c>
      <c r="G72" s="479">
        <f t="shared" si="19"/>
        <v>2446.4250000000002</v>
      </c>
      <c r="H72" s="479">
        <f t="shared" si="20"/>
        <v>1223.2125000000001</v>
      </c>
      <c r="I72" s="517">
        <v>1</v>
      </c>
      <c r="J72" s="515">
        <f t="shared" si="21"/>
        <v>2446.4250000000002</v>
      </c>
    </row>
    <row r="73" spans="1:10">
      <c r="A73" s="7" t="s">
        <v>1524</v>
      </c>
      <c r="B73" s="7"/>
      <c r="C73" s="7"/>
      <c r="D73" s="7"/>
      <c r="E73" s="7"/>
    </row>
    <row r="74" spans="1:10">
      <c r="A74" s="187" t="s">
        <v>1523</v>
      </c>
      <c r="B74" s="181"/>
      <c r="C74" s="181"/>
      <c r="D74" s="181"/>
    </row>
    <row r="75" spans="1:10">
      <c r="A75" s="187" t="s">
        <v>1525</v>
      </c>
      <c r="B75" s="181"/>
      <c r="C75" s="181"/>
      <c r="D75" s="181"/>
    </row>
    <row r="76" spans="1:10">
      <c r="A76" s="187" t="s">
        <v>1622</v>
      </c>
      <c r="B76" s="181"/>
      <c r="C76" s="181"/>
      <c r="D76" s="181"/>
    </row>
    <row r="77" spans="1:10" ht="21.75" customHeight="1">
      <c r="A77" s="187"/>
      <c r="B77" s="181"/>
      <c r="C77" s="181"/>
      <c r="D77" s="181"/>
    </row>
    <row r="78" spans="1:10" ht="15.75">
      <c r="A78" s="499" t="s">
        <v>1579</v>
      </c>
      <c r="B78" s="499"/>
      <c r="C78" s="499"/>
      <c r="D78" s="499"/>
    </row>
    <row r="79" spans="1:10" ht="15" thickBot="1">
      <c r="A79" s="240">
        <v>0.5</v>
      </c>
      <c r="B79" s="175" t="s">
        <v>1596</v>
      </c>
      <c r="C79" s="175"/>
      <c r="D79" s="175"/>
    </row>
    <row r="80" spans="1:10" ht="15.75" customHeight="1">
      <c r="A80" s="415"/>
      <c r="B80" s="680" t="s">
        <v>1700</v>
      </c>
      <c r="C80" s="681"/>
      <c r="D80" s="682"/>
      <c r="E80" s="670" t="s">
        <v>1691</v>
      </c>
      <c r="F80" s="677" t="s">
        <v>1625</v>
      </c>
      <c r="G80" s="673" t="s">
        <v>1702</v>
      </c>
    </row>
    <row r="81" spans="1:7" ht="17.25" customHeight="1">
      <c r="A81" s="196" t="s">
        <v>1699</v>
      </c>
      <c r="B81" s="686" t="s">
        <v>1175</v>
      </c>
      <c r="C81" s="687"/>
      <c r="D81" s="671" t="s">
        <v>1176</v>
      </c>
      <c r="E81" s="671"/>
      <c r="F81" s="678"/>
      <c r="G81" s="674"/>
    </row>
    <row r="82" spans="1:7" ht="29.25" customHeight="1">
      <c r="A82" s="462" t="s">
        <v>1174</v>
      </c>
      <c r="B82" s="576" t="s">
        <v>1703</v>
      </c>
      <c r="C82" s="418" t="s">
        <v>1692</v>
      </c>
      <c r="D82" s="672"/>
      <c r="E82" s="672"/>
      <c r="F82" s="679"/>
      <c r="G82" s="675"/>
    </row>
    <row r="83" spans="1:7">
      <c r="A83" s="210">
        <v>9</v>
      </c>
      <c r="B83" s="512">
        <v>1210</v>
      </c>
      <c r="C83" s="470">
        <f>$A$63</f>
        <v>280</v>
      </c>
      <c r="D83" s="471">
        <f>SUM(B83:C83)</f>
        <v>1490</v>
      </c>
      <c r="E83" s="480">
        <f>D83*$A$79</f>
        <v>745</v>
      </c>
      <c r="F83" s="452">
        <v>0.5</v>
      </c>
      <c r="G83" s="525">
        <f t="shared" ref="G83:G88" si="24">B83*F83+E83*(1-F83)</f>
        <v>977.5</v>
      </c>
    </row>
    <row r="84" spans="1:7">
      <c r="A84" s="397">
        <v>12</v>
      </c>
      <c r="B84" s="513">
        <v>2000</v>
      </c>
      <c r="C84" s="474">
        <f t="shared" ref="C84:C88" si="25">$A$63</f>
        <v>280</v>
      </c>
      <c r="D84" s="475">
        <f t="shared" ref="D84:D88" si="26">SUM(B84:C84)</f>
        <v>2280</v>
      </c>
      <c r="E84" s="482">
        <f t="shared" ref="E84:E88" si="27">D84*$A$79</f>
        <v>1140</v>
      </c>
      <c r="F84" s="516">
        <v>0.6</v>
      </c>
      <c r="G84" s="513">
        <f t="shared" si="24"/>
        <v>1656</v>
      </c>
    </row>
    <row r="85" spans="1:7">
      <c r="A85" s="210">
        <v>15</v>
      </c>
      <c r="B85" s="514">
        <v>2955</v>
      </c>
      <c r="C85" s="470">
        <f t="shared" si="25"/>
        <v>280</v>
      </c>
      <c r="D85" s="471">
        <f t="shared" si="26"/>
        <v>3235</v>
      </c>
      <c r="E85" s="484">
        <f t="shared" si="27"/>
        <v>1617.5</v>
      </c>
      <c r="F85" s="452">
        <v>0.7</v>
      </c>
      <c r="G85" s="514">
        <f t="shared" si="24"/>
        <v>2553.75</v>
      </c>
    </row>
    <row r="86" spans="1:7">
      <c r="A86" s="397">
        <v>18</v>
      </c>
      <c r="B86" s="513">
        <v>3600</v>
      </c>
      <c r="C86" s="474">
        <f t="shared" si="25"/>
        <v>280</v>
      </c>
      <c r="D86" s="475">
        <f t="shared" si="26"/>
        <v>3880</v>
      </c>
      <c r="E86" s="482">
        <f t="shared" si="27"/>
        <v>1940</v>
      </c>
      <c r="F86" s="516">
        <v>0.8</v>
      </c>
      <c r="G86" s="513">
        <f t="shared" si="24"/>
        <v>3268</v>
      </c>
    </row>
    <row r="87" spans="1:7">
      <c r="A87" s="210">
        <v>20</v>
      </c>
      <c r="B87" s="514">
        <v>4000</v>
      </c>
      <c r="C87" s="470">
        <f t="shared" si="25"/>
        <v>280</v>
      </c>
      <c r="D87" s="471">
        <f t="shared" si="26"/>
        <v>4280</v>
      </c>
      <c r="E87" s="484">
        <f t="shared" si="27"/>
        <v>2140</v>
      </c>
      <c r="F87" s="452">
        <v>0.9</v>
      </c>
      <c r="G87" s="514">
        <f t="shared" si="24"/>
        <v>3814</v>
      </c>
    </row>
    <row r="88" spans="1:7" ht="15" thickBot="1">
      <c r="A88" s="417">
        <v>22</v>
      </c>
      <c r="B88" s="515">
        <v>4800</v>
      </c>
      <c r="C88" s="478">
        <f t="shared" si="25"/>
        <v>280</v>
      </c>
      <c r="D88" s="479">
        <f t="shared" si="26"/>
        <v>5080</v>
      </c>
      <c r="E88" s="485">
        <f t="shared" si="27"/>
        <v>2540</v>
      </c>
      <c r="F88" s="517">
        <v>1</v>
      </c>
      <c r="G88" s="515">
        <f t="shared" si="24"/>
        <v>4800</v>
      </c>
    </row>
    <row r="89" spans="1:7">
      <c r="A89" s="187" t="s">
        <v>1530</v>
      </c>
      <c r="B89" s="181"/>
      <c r="C89" s="181"/>
      <c r="D89" s="181"/>
    </row>
    <row r="90" spans="1:7" ht="21.75" customHeight="1">
      <c r="A90" s="187"/>
      <c r="B90" s="181"/>
    </row>
    <row r="91" spans="1:7" ht="15.75">
      <c r="A91" s="499" t="s">
        <v>1595</v>
      </c>
      <c r="B91" s="499"/>
      <c r="C91" s="499"/>
      <c r="D91" s="499"/>
    </row>
    <row r="92" spans="1:7" ht="15" thickBot="1">
      <c r="A92" s="240">
        <v>0.5</v>
      </c>
      <c r="B92" s="175" t="s">
        <v>1596</v>
      </c>
      <c r="C92" s="175"/>
      <c r="D92" s="175"/>
    </row>
    <row r="93" spans="1:7" ht="15.75" customHeight="1">
      <c r="A93" s="415"/>
      <c r="B93" s="680" t="s">
        <v>1700</v>
      </c>
      <c r="C93" s="681"/>
      <c r="D93" s="682"/>
      <c r="E93" s="664" t="s">
        <v>1529</v>
      </c>
      <c r="F93" s="677" t="s">
        <v>1626</v>
      </c>
      <c r="G93" s="667" t="s">
        <v>1704</v>
      </c>
    </row>
    <row r="94" spans="1:7" ht="15" customHeight="1">
      <c r="A94" s="196"/>
      <c r="B94" s="686" t="s">
        <v>1175</v>
      </c>
      <c r="C94" s="687"/>
      <c r="D94" s="671" t="s">
        <v>1176</v>
      </c>
      <c r="E94" s="665"/>
      <c r="F94" s="678"/>
      <c r="G94" s="668"/>
    </row>
    <row r="95" spans="1:7" ht="15" customHeight="1">
      <c r="A95" s="462" t="s">
        <v>1174</v>
      </c>
      <c r="B95" s="576" t="s">
        <v>1703</v>
      </c>
      <c r="C95" s="418" t="s">
        <v>1692</v>
      </c>
      <c r="D95" s="672"/>
      <c r="E95" s="666"/>
      <c r="F95" s="679"/>
      <c r="G95" s="669"/>
    </row>
    <row r="96" spans="1:7">
      <c r="A96" s="210">
        <v>9</v>
      </c>
      <c r="B96" s="512">
        <v>100</v>
      </c>
      <c r="C96" s="470">
        <f>$A$63</f>
        <v>280</v>
      </c>
      <c r="D96" s="471">
        <f>SUM(B96:C96)</f>
        <v>380</v>
      </c>
      <c r="E96" s="480">
        <f t="shared" ref="E96:E101" si="28">B96*$A$92</f>
        <v>50</v>
      </c>
      <c r="F96" s="452">
        <v>0.5</v>
      </c>
      <c r="G96" s="512">
        <f t="shared" ref="G96:G101" si="29">B96*F96+E96*(1-F96)</f>
        <v>75</v>
      </c>
    </row>
    <row r="97" spans="1:11">
      <c r="A97" s="397">
        <v>12</v>
      </c>
      <c r="B97" s="513">
        <v>200</v>
      </c>
      <c r="C97" s="474">
        <f t="shared" ref="C97:C101" si="30">$A$63</f>
        <v>280</v>
      </c>
      <c r="D97" s="475">
        <f t="shared" ref="D97:D101" si="31">SUM(B97:C97)</f>
        <v>480</v>
      </c>
      <c r="E97" s="482">
        <f t="shared" si="28"/>
        <v>100</v>
      </c>
      <c r="F97" s="516">
        <v>0.6</v>
      </c>
      <c r="G97" s="513">
        <f t="shared" si="29"/>
        <v>160</v>
      </c>
    </row>
    <row r="98" spans="1:11">
      <c r="A98" s="210">
        <v>15</v>
      </c>
      <c r="B98" s="514">
        <v>300</v>
      </c>
      <c r="C98" s="470">
        <f t="shared" si="30"/>
        <v>280</v>
      </c>
      <c r="D98" s="471">
        <f t="shared" si="31"/>
        <v>580</v>
      </c>
      <c r="E98" s="484">
        <f t="shared" si="28"/>
        <v>150</v>
      </c>
      <c r="F98" s="452">
        <v>0.7</v>
      </c>
      <c r="G98" s="514">
        <f t="shared" si="29"/>
        <v>255</v>
      </c>
    </row>
    <row r="99" spans="1:11">
      <c r="A99" s="397">
        <v>18</v>
      </c>
      <c r="B99" s="513">
        <v>400</v>
      </c>
      <c r="C99" s="474">
        <f t="shared" si="30"/>
        <v>280</v>
      </c>
      <c r="D99" s="475">
        <f t="shared" si="31"/>
        <v>680</v>
      </c>
      <c r="E99" s="482">
        <f t="shared" si="28"/>
        <v>200</v>
      </c>
      <c r="F99" s="516">
        <v>0.8</v>
      </c>
      <c r="G99" s="513">
        <f t="shared" si="29"/>
        <v>360</v>
      </c>
    </row>
    <row r="100" spans="1:11">
      <c r="A100" s="210">
        <v>20</v>
      </c>
      <c r="B100" s="514">
        <v>500</v>
      </c>
      <c r="C100" s="470">
        <f t="shared" si="30"/>
        <v>280</v>
      </c>
      <c r="D100" s="471">
        <f t="shared" si="31"/>
        <v>780</v>
      </c>
      <c r="E100" s="484">
        <f t="shared" si="28"/>
        <v>250</v>
      </c>
      <c r="F100" s="452">
        <v>0.9</v>
      </c>
      <c r="G100" s="514">
        <f t="shared" si="29"/>
        <v>475</v>
      </c>
    </row>
    <row r="101" spans="1:11" ht="15" thickBot="1">
      <c r="A101" s="417">
        <v>22</v>
      </c>
      <c r="B101" s="515">
        <v>600</v>
      </c>
      <c r="C101" s="478">
        <f t="shared" si="30"/>
        <v>280</v>
      </c>
      <c r="D101" s="479">
        <f t="shared" si="31"/>
        <v>880</v>
      </c>
      <c r="E101" s="485">
        <f t="shared" si="28"/>
        <v>300</v>
      </c>
      <c r="F101" s="517">
        <v>1</v>
      </c>
      <c r="G101" s="515">
        <f t="shared" si="29"/>
        <v>600</v>
      </c>
    </row>
    <row r="102" spans="1:11" ht="24.75" customHeight="1">
      <c r="A102" s="187"/>
      <c r="B102" s="206"/>
      <c r="C102" s="206"/>
      <c r="D102" s="206"/>
    </row>
    <row r="103" spans="1:11" ht="16.5" thickBot="1">
      <c r="A103" s="436" t="s">
        <v>1580</v>
      </c>
      <c r="B103" s="436"/>
      <c r="C103" s="436"/>
      <c r="D103" s="436"/>
      <c r="E103" s="436"/>
      <c r="F103" s="414"/>
      <c r="G103" s="414"/>
      <c r="H103" s="414"/>
      <c r="I103" s="414"/>
      <c r="J103" s="454"/>
      <c r="K103" s="454"/>
    </row>
    <row r="104" spans="1:11" ht="60">
      <c r="A104" s="34" t="s">
        <v>133</v>
      </c>
      <c r="B104" s="27" t="s">
        <v>1169</v>
      </c>
      <c r="C104" s="34" t="s">
        <v>1170</v>
      </c>
      <c r="D104" s="27" t="s">
        <v>1271</v>
      </c>
      <c r="E104" s="34" t="s">
        <v>1272</v>
      </c>
      <c r="F104" s="27" t="s">
        <v>1263</v>
      </c>
      <c r="G104" s="34" t="s">
        <v>1434</v>
      </c>
      <c r="H104" s="420" t="s">
        <v>1264</v>
      </c>
      <c r="I104" s="27" t="s">
        <v>1265</v>
      </c>
      <c r="J104" s="437"/>
      <c r="K104" s="437"/>
    </row>
    <row r="105" spans="1:11" ht="15">
      <c r="A105" s="210" t="s">
        <v>138</v>
      </c>
      <c r="B105" s="507">
        <v>0.02</v>
      </c>
      <c r="C105" s="204">
        <f t="shared" ref="C105:C110" si="32">ABS(B105*$C$111)</f>
        <v>60</v>
      </c>
      <c r="D105" s="486">
        <f t="shared" ref="D105:D110" si="33">J67</f>
        <v>532.31850000000009</v>
      </c>
      <c r="E105" s="487">
        <f>C105*D105</f>
        <v>31939.110000000004</v>
      </c>
      <c r="F105" s="486">
        <f t="shared" ref="F105:F110" si="34">G83</f>
        <v>977.5</v>
      </c>
      <c r="G105" s="487">
        <f>C105*F105</f>
        <v>58650</v>
      </c>
      <c r="H105" s="486">
        <f t="shared" ref="H105:H110" si="35">G96</f>
        <v>75</v>
      </c>
      <c r="I105" s="481">
        <f t="shared" ref="I105:I110" si="36">C105*H105</f>
        <v>4500</v>
      </c>
      <c r="J105" s="437"/>
      <c r="K105" s="509"/>
    </row>
    <row r="106" spans="1:11" ht="15">
      <c r="A106" s="397" t="s">
        <v>118</v>
      </c>
      <c r="B106" s="508">
        <v>0.52</v>
      </c>
      <c r="C106" s="416">
        <f t="shared" si="32"/>
        <v>1560</v>
      </c>
      <c r="D106" s="488">
        <f t="shared" si="33"/>
        <v>669.67200000000003</v>
      </c>
      <c r="E106" s="489">
        <f t="shared" ref="E106:E109" si="37">C106*D106</f>
        <v>1044688.3200000001</v>
      </c>
      <c r="F106" s="488">
        <f t="shared" si="34"/>
        <v>1656</v>
      </c>
      <c r="G106" s="489">
        <f t="shared" ref="G106:G110" si="38">C106*F106</f>
        <v>2583360</v>
      </c>
      <c r="H106" s="488">
        <f t="shared" si="35"/>
        <v>160</v>
      </c>
      <c r="I106" s="483">
        <f t="shared" si="36"/>
        <v>249600</v>
      </c>
      <c r="J106" s="437"/>
      <c r="K106" s="509"/>
    </row>
    <row r="107" spans="1:11" ht="15">
      <c r="A107" s="210" t="s">
        <v>124</v>
      </c>
      <c r="B107" s="507">
        <v>0.38500000000000001</v>
      </c>
      <c r="C107" s="207">
        <f t="shared" si="32"/>
        <v>1155</v>
      </c>
      <c r="D107" s="486">
        <f t="shared" si="33"/>
        <v>899.93069999999989</v>
      </c>
      <c r="E107" s="487">
        <f t="shared" si="37"/>
        <v>1039419.9584999998</v>
      </c>
      <c r="F107" s="486">
        <f t="shared" si="34"/>
        <v>2553.75</v>
      </c>
      <c r="G107" s="487">
        <f t="shared" si="38"/>
        <v>2949581.25</v>
      </c>
      <c r="H107" s="486">
        <f t="shared" si="35"/>
        <v>255</v>
      </c>
      <c r="I107" s="481">
        <f t="shared" si="36"/>
        <v>294525</v>
      </c>
      <c r="J107" s="437"/>
      <c r="K107" s="509"/>
    </row>
    <row r="108" spans="1:11" ht="15">
      <c r="A108" s="397" t="s">
        <v>132</v>
      </c>
      <c r="B108" s="508">
        <v>0.06</v>
      </c>
      <c r="C108" s="416">
        <f t="shared" si="32"/>
        <v>180</v>
      </c>
      <c r="D108" s="488">
        <f t="shared" si="33"/>
        <v>1444.1571000000001</v>
      </c>
      <c r="E108" s="489">
        <f t="shared" si="37"/>
        <v>259948.27800000002</v>
      </c>
      <c r="F108" s="488">
        <f t="shared" si="34"/>
        <v>3268</v>
      </c>
      <c r="G108" s="489">
        <f t="shared" si="38"/>
        <v>588240</v>
      </c>
      <c r="H108" s="488">
        <f t="shared" si="35"/>
        <v>360</v>
      </c>
      <c r="I108" s="483">
        <f t="shared" si="36"/>
        <v>64800</v>
      </c>
      <c r="J108" s="437"/>
      <c r="K108" s="509"/>
    </row>
    <row r="109" spans="1:11" ht="15">
      <c r="A109" s="210" t="s">
        <v>143</v>
      </c>
      <c r="B109" s="507">
        <v>0.01</v>
      </c>
      <c r="C109" s="207">
        <f t="shared" si="32"/>
        <v>30</v>
      </c>
      <c r="D109" s="486">
        <f t="shared" si="33"/>
        <v>1861.5231000000001</v>
      </c>
      <c r="E109" s="487">
        <f t="shared" si="37"/>
        <v>55845.693000000007</v>
      </c>
      <c r="F109" s="486">
        <f t="shared" si="34"/>
        <v>3814</v>
      </c>
      <c r="G109" s="487">
        <f t="shared" si="38"/>
        <v>114420</v>
      </c>
      <c r="H109" s="486">
        <f t="shared" si="35"/>
        <v>475</v>
      </c>
      <c r="I109" s="481">
        <f t="shared" si="36"/>
        <v>14250</v>
      </c>
      <c r="J109" s="437"/>
      <c r="K109" s="509"/>
    </row>
    <row r="110" spans="1:11" ht="15">
      <c r="A110" s="491" t="s">
        <v>145</v>
      </c>
      <c r="B110" s="508">
        <v>5.0000000000000001E-3</v>
      </c>
      <c r="C110" s="416">
        <f t="shared" si="32"/>
        <v>15</v>
      </c>
      <c r="D110" s="488">
        <f t="shared" si="33"/>
        <v>2446.4250000000002</v>
      </c>
      <c r="E110" s="489">
        <f>ABS(C110*D110)</f>
        <v>36696.375</v>
      </c>
      <c r="F110" s="488">
        <f t="shared" si="34"/>
        <v>4800</v>
      </c>
      <c r="G110" s="489">
        <f t="shared" si="38"/>
        <v>72000</v>
      </c>
      <c r="H110" s="488">
        <f t="shared" si="35"/>
        <v>600</v>
      </c>
      <c r="I110" s="483">
        <f t="shared" si="36"/>
        <v>9000</v>
      </c>
      <c r="J110" s="437"/>
      <c r="K110" s="509"/>
    </row>
    <row r="111" spans="1:11" ht="15">
      <c r="A111" s="198" t="s">
        <v>147</v>
      </c>
      <c r="B111" s="52">
        <f>SUM(B105:B110)</f>
        <v>1</v>
      </c>
      <c r="C111" s="584">
        <f>'Summary '!A31</f>
        <v>3000</v>
      </c>
      <c r="D111" s="585"/>
      <c r="E111" s="586">
        <f>SUM(E105:E110)*'Summary '!A60</f>
        <v>2468537.7344999998</v>
      </c>
      <c r="F111" s="585"/>
      <c r="G111" s="586">
        <f>SUM(G105:G110)*'Summary '!A60</f>
        <v>6366251.25</v>
      </c>
      <c r="H111" s="585"/>
      <c r="I111" s="587">
        <f>SUM(I105:I110)*'Summary '!A60</f>
        <v>636675</v>
      </c>
      <c r="J111" s="437"/>
      <c r="K111" s="509"/>
    </row>
    <row r="112" spans="1:11" ht="21" customHeight="1" thickBot="1">
      <c r="A112" s="578" t="s">
        <v>1707</v>
      </c>
      <c r="B112" s="579"/>
      <c r="C112" s="580"/>
      <c r="D112" s="581"/>
      <c r="E112" s="582">
        <f>E111/C111</f>
        <v>822.84591149999994</v>
      </c>
      <c r="F112" s="581"/>
      <c r="G112" s="582">
        <f>G111/C111</f>
        <v>2122.0837499999998</v>
      </c>
      <c r="H112" s="581"/>
      <c r="I112" s="583">
        <f>I111/C111</f>
        <v>212.22499999999999</v>
      </c>
      <c r="J112" s="437"/>
      <c r="K112" s="437"/>
    </row>
    <row r="113" spans="1:23" ht="21" customHeight="1">
      <c r="A113" s="7"/>
      <c r="B113" s="7"/>
      <c r="C113" s="511"/>
      <c r="D113" s="7"/>
      <c r="E113" s="522"/>
      <c r="F113" s="522"/>
      <c r="G113" s="522"/>
      <c r="H113" s="522"/>
      <c r="I113" s="522"/>
      <c r="J113" s="524"/>
      <c r="K113" s="524"/>
    </row>
    <row r="114" spans="1:23" ht="16.5" thickBot="1">
      <c r="A114" s="373" t="s">
        <v>1581</v>
      </c>
      <c r="B114" s="374"/>
      <c r="C114" s="374"/>
      <c r="D114" s="374"/>
      <c r="E114" s="375"/>
    </row>
    <row r="115" spans="1:23" ht="15">
      <c r="A115" s="194"/>
      <c r="B115" s="655" t="s">
        <v>1210</v>
      </c>
      <c r="C115" s="656"/>
      <c r="D115" s="656"/>
      <c r="E115" s="656"/>
      <c r="F115" s="656"/>
      <c r="G115" s="656"/>
      <c r="H115" s="656"/>
      <c r="I115" s="656"/>
    </row>
    <row r="116" spans="1:23" ht="30.75" customHeight="1">
      <c r="A116" s="195"/>
      <c r="B116" s="178" t="s">
        <v>1254</v>
      </c>
      <c r="C116" s="178" t="s">
        <v>1253</v>
      </c>
      <c r="D116" s="178" t="s">
        <v>1197</v>
      </c>
      <c r="E116" s="178" t="s">
        <v>1593</v>
      </c>
      <c r="F116" s="178" t="s">
        <v>1196</v>
      </c>
      <c r="G116" s="178" t="s">
        <v>1195</v>
      </c>
      <c r="H116" s="551" t="s">
        <v>1199</v>
      </c>
      <c r="I116" s="523" t="s">
        <v>1689</v>
      </c>
    </row>
    <row r="117" spans="1:23" s="187" customFormat="1" ht="16.5" customHeight="1">
      <c r="A117" s="135" t="s">
        <v>1531</v>
      </c>
      <c r="C117" s="13"/>
      <c r="D117" s="13"/>
      <c r="E117" s="13"/>
      <c r="F117" s="13"/>
      <c r="G117" s="13"/>
      <c r="H117" s="190"/>
      <c r="I117" s="175"/>
      <c r="J117" s="175"/>
      <c r="K117" s="175"/>
      <c r="L117" s="175"/>
      <c r="M117" s="175"/>
      <c r="N117" s="175"/>
      <c r="O117" s="175"/>
      <c r="P117" s="175"/>
      <c r="Q117" s="175"/>
      <c r="R117" s="175"/>
      <c r="S117" s="175"/>
      <c r="T117" s="175"/>
      <c r="U117" s="175"/>
      <c r="V117" s="175"/>
    </row>
    <row r="118" spans="1:23" s="187" customFormat="1" ht="16.5" customHeight="1">
      <c r="A118" s="196" t="s">
        <v>1435</v>
      </c>
      <c r="B118" s="526">
        <v>0.5</v>
      </c>
      <c r="C118" s="526">
        <v>0.5</v>
      </c>
      <c r="D118" s="526">
        <v>1</v>
      </c>
      <c r="E118" s="526">
        <v>1</v>
      </c>
      <c r="F118" s="526">
        <v>1</v>
      </c>
      <c r="G118" s="526">
        <v>1</v>
      </c>
      <c r="H118" s="590">
        <v>1</v>
      </c>
      <c r="I118" s="623">
        <v>2</v>
      </c>
      <c r="J118" s="175"/>
      <c r="K118" s="175"/>
      <c r="L118" s="175"/>
      <c r="M118" s="175"/>
      <c r="N118" s="175"/>
      <c r="O118" s="175"/>
      <c r="P118" s="175"/>
      <c r="Q118" s="175"/>
      <c r="R118" s="175"/>
      <c r="S118" s="175"/>
      <c r="T118" s="175"/>
      <c r="U118" s="175"/>
      <c r="V118" s="175"/>
      <c r="W118" s="175"/>
    </row>
    <row r="119" spans="1:23" s="187" customFormat="1" ht="16.5" customHeight="1">
      <c r="A119" s="192" t="s">
        <v>1545</v>
      </c>
      <c r="B119" s="527">
        <v>0</v>
      </c>
      <c r="C119" s="527">
        <v>0.5</v>
      </c>
      <c r="D119" s="527">
        <v>0.5</v>
      </c>
      <c r="E119" s="527">
        <v>1</v>
      </c>
      <c r="F119" s="527">
        <v>1</v>
      </c>
      <c r="G119" s="527">
        <v>1</v>
      </c>
      <c r="H119" s="591">
        <v>1</v>
      </c>
      <c r="I119" s="624"/>
      <c r="J119" s="175"/>
      <c r="K119" s="175"/>
      <c r="L119" s="175"/>
      <c r="M119" s="175"/>
      <c r="N119" s="175"/>
      <c r="O119" s="175"/>
      <c r="P119" s="175"/>
      <c r="Q119" s="175"/>
      <c r="R119" s="175"/>
      <c r="S119" s="175"/>
      <c r="T119" s="175"/>
      <c r="U119" s="175"/>
      <c r="V119" s="175"/>
      <c r="W119" s="175"/>
    </row>
    <row r="120" spans="1:23" s="187" customFormat="1" ht="16.5" customHeight="1">
      <c r="A120" s="195" t="s">
        <v>1439</v>
      </c>
      <c r="B120" s="528">
        <v>0</v>
      </c>
      <c r="C120" s="528">
        <v>0</v>
      </c>
      <c r="D120" s="528">
        <v>0</v>
      </c>
      <c r="E120" s="528">
        <v>2</v>
      </c>
      <c r="F120" s="528">
        <v>2</v>
      </c>
      <c r="G120" s="528">
        <v>5</v>
      </c>
      <c r="H120" s="592">
        <v>10</v>
      </c>
      <c r="I120" s="625"/>
      <c r="J120" s="175"/>
      <c r="K120" s="175"/>
      <c r="L120" s="175"/>
      <c r="M120" s="175"/>
      <c r="N120" s="175"/>
      <c r="O120" s="175"/>
      <c r="P120" s="175"/>
      <c r="Q120" s="175"/>
      <c r="R120" s="175"/>
      <c r="S120" s="175"/>
      <c r="T120" s="175"/>
      <c r="U120" s="175"/>
      <c r="V120" s="175"/>
      <c r="W120" s="175"/>
    </row>
    <row r="121" spans="1:23" s="187" customFormat="1" ht="16.5" customHeight="1">
      <c r="A121" s="135" t="s">
        <v>1267</v>
      </c>
      <c r="B121" s="7"/>
      <c r="C121" s="7"/>
      <c r="D121" s="7"/>
      <c r="E121" s="7"/>
      <c r="F121" s="7"/>
      <c r="G121" s="7"/>
      <c r="H121" s="196"/>
      <c r="I121" s="175"/>
      <c r="J121" s="175"/>
      <c r="K121" s="175"/>
      <c r="L121" s="175"/>
      <c r="M121" s="175"/>
      <c r="N121" s="175"/>
      <c r="O121" s="175"/>
      <c r="P121" s="175"/>
      <c r="Q121" s="175"/>
      <c r="R121" s="175"/>
      <c r="S121" s="175"/>
      <c r="T121" s="175"/>
      <c r="U121" s="175"/>
      <c r="V121" s="175"/>
    </row>
    <row r="122" spans="1:23">
      <c r="A122" s="196" t="s">
        <v>1435</v>
      </c>
      <c r="B122" s="197">
        <f>IF(B118=0,0,$G$111*B118)</f>
        <v>3183125.625</v>
      </c>
      <c r="C122" s="197">
        <f>IF(C118=0,0,$G$111*C118)</f>
        <v>3183125.625</v>
      </c>
      <c r="D122" s="197">
        <f t="shared" ref="D122:H122" si="39">IF(D118=0,0,$G$111*D118)</f>
        <v>6366251.25</v>
      </c>
      <c r="E122" s="197">
        <f t="shared" ref="E122" si="40">IF(E118=0,0,$G$111*E118)</f>
        <v>6366251.25</v>
      </c>
      <c r="F122" s="197">
        <f t="shared" si="39"/>
        <v>6366251.25</v>
      </c>
      <c r="G122" s="197">
        <f t="shared" si="39"/>
        <v>6366251.25</v>
      </c>
      <c r="H122" s="593">
        <f t="shared" si="39"/>
        <v>6366251.25</v>
      </c>
      <c r="I122" s="197">
        <f>IF(I118=0,0,$G$111*I118)</f>
        <v>12732502.5</v>
      </c>
    </row>
    <row r="123" spans="1:23" s="187" customFormat="1" ht="16.5" customHeight="1">
      <c r="A123" s="192" t="s">
        <v>1545</v>
      </c>
      <c r="B123" s="426">
        <f t="shared" ref="B123:H123" si="41">IF(B119=0,0,$E$111*B119)</f>
        <v>0</v>
      </c>
      <c r="C123" s="426">
        <f>IF(C119=0,0,$E$111*C119)</f>
        <v>1234268.8672499999</v>
      </c>
      <c r="D123" s="426">
        <f t="shared" si="41"/>
        <v>1234268.8672499999</v>
      </c>
      <c r="E123" s="426">
        <f t="shared" ref="E123" si="42">IF(E119=0,0,$E$111*E119)</f>
        <v>2468537.7344999998</v>
      </c>
      <c r="F123" s="426">
        <f t="shared" si="41"/>
        <v>2468537.7344999998</v>
      </c>
      <c r="G123" s="426">
        <f t="shared" si="41"/>
        <v>2468537.7344999998</v>
      </c>
      <c r="H123" s="594">
        <f t="shared" si="41"/>
        <v>2468537.7344999998</v>
      </c>
      <c r="I123" s="426">
        <f t="shared" ref="I123" si="43">IF(I119=0,0,$E$111*I119)</f>
        <v>0</v>
      </c>
      <c r="J123" s="175"/>
      <c r="K123" s="175"/>
      <c r="L123" s="175"/>
      <c r="M123" s="175"/>
      <c r="N123" s="175"/>
      <c r="O123" s="175"/>
      <c r="P123" s="175"/>
      <c r="Q123" s="175"/>
      <c r="R123" s="175"/>
      <c r="S123" s="175"/>
      <c r="T123" s="175"/>
      <c r="U123" s="175"/>
      <c r="V123" s="175"/>
    </row>
    <row r="124" spans="1:23">
      <c r="A124" s="196" t="s">
        <v>1439</v>
      </c>
      <c r="B124" s="197">
        <f t="shared" ref="B124:H124" si="44">IF(B120=0,0,$I$111*B120)</f>
        <v>0</v>
      </c>
      <c r="C124" s="197">
        <f>IF(C120=0,0,$I$111*C120)</f>
        <v>0</v>
      </c>
      <c r="D124" s="197">
        <f t="shared" si="44"/>
        <v>0</v>
      </c>
      <c r="E124" s="197">
        <f t="shared" ref="E124" si="45">IF(E120=0,0,$I$111*E120)</f>
        <v>1273350</v>
      </c>
      <c r="F124" s="197">
        <f t="shared" si="44"/>
        <v>1273350</v>
      </c>
      <c r="G124" s="197">
        <f t="shared" si="44"/>
        <v>3183375</v>
      </c>
      <c r="H124" s="593">
        <f t="shared" si="44"/>
        <v>6366750</v>
      </c>
      <c r="I124" s="197">
        <f t="shared" ref="I124" si="46">IF(I120=0,0,$I$111*I120)</f>
        <v>0</v>
      </c>
    </row>
    <row r="125" spans="1:23">
      <c r="A125" s="198" t="s">
        <v>1268</v>
      </c>
      <c r="B125" s="599">
        <f t="shared" ref="B125:H125" si="47">SUM(B122:B124)</f>
        <v>3183125.625</v>
      </c>
      <c r="C125" s="599">
        <f t="shared" si="47"/>
        <v>4417394.4922500001</v>
      </c>
      <c r="D125" s="199">
        <f t="shared" si="47"/>
        <v>7600520.1172500001</v>
      </c>
      <c r="E125" s="199">
        <f t="shared" si="47"/>
        <v>10108138.9845</v>
      </c>
      <c r="F125" s="199">
        <f t="shared" si="47"/>
        <v>10108138.9845</v>
      </c>
      <c r="G125" s="199">
        <f t="shared" si="47"/>
        <v>12018163.9845</v>
      </c>
      <c r="H125" s="595">
        <f t="shared" si="47"/>
        <v>15201538.9845</v>
      </c>
      <c r="I125" s="199">
        <f t="shared" ref="I125" si="48">SUM(I122:I124)</f>
        <v>12732502.5</v>
      </c>
    </row>
    <row r="126" spans="1:23">
      <c r="A126" s="196" t="s">
        <v>1269</v>
      </c>
      <c r="B126" s="201">
        <f t="shared" ref="B126:I126" si="49">B125/$C$111</f>
        <v>1061.0418749999999</v>
      </c>
      <c r="C126" s="201">
        <f t="shared" si="49"/>
        <v>1472.4648307500001</v>
      </c>
      <c r="D126" s="201">
        <f t="shared" si="49"/>
        <v>2533.50670575</v>
      </c>
      <c r="E126" s="201">
        <f t="shared" si="49"/>
        <v>3369.3796615000001</v>
      </c>
      <c r="F126" s="201">
        <f t="shared" si="49"/>
        <v>3369.3796615000001</v>
      </c>
      <c r="G126" s="201">
        <f t="shared" si="49"/>
        <v>4006.0546615000003</v>
      </c>
      <c r="H126" s="593">
        <f t="shared" si="49"/>
        <v>5067.1796615000003</v>
      </c>
      <c r="I126" s="201">
        <f t="shared" si="49"/>
        <v>4244.1674999999996</v>
      </c>
    </row>
    <row r="127" spans="1:23">
      <c r="A127" s="192" t="s">
        <v>1594</v>
      </c>
      <c r="B127" s="427">
        <v>0.1532</v>
      </c>
      <c r="C127" s="427">
        <v>9.9860000000000004E-2</v>
      </c>
      <c r="D127" s="427">
        <v>0.16550000000000001</v>
      </c>
      <c r="E127" s="427">
        <v>0.47058800000000001</v>
      </c>
      <c r="F127" s="427">
        <v>0.47058800000000001</v>
      </c>
      <c r="G127" s="427">
        <v>7.1135000000000004E-2</v>
      </c>
      <c r="H127" s="560">
        <v>3.9669999999999997E-2</v>
      </c>
      <c r="I127" s="427"/>
      <c r="K127" s="240">
        <f>SUM(B127:H127)-F127</f>
        <v>0.99995300000000009</v>
      </c>
      <c r="L127" s="175" t="s">
        <v>1582</v>
      </c>
    </row>
    <row r="128" spans="1:23">
      <c r="A128" s="196" t="s">
        <v>113</v>
      </c>
      <c r="B128" s="518">
        <f t="shared" ref="B128:G128" si="50">B127*$C$111</f>
        <v>459.6</v>
      </c>
      <c r="C128" s="518">
        <f t="shared" si="50"/>
        <v>299.58000000000004</v>
      </c>
      <c r="D128" s="518">
        <f t="shared" si="50"/>
        <v>496.5</v>
      </c>
      <c r="E128" s="518">
        <f t="shared" si="50"/>
        <v>1411.7640000000001</v>
      </c>
      <c r="F128" s="518">
        <f t="shared" si="50"/>
        <v>1411.7640000000001</v>
      </c>
      <c r="G128" s="518">
        <f t="shared" si="50"/>
        <v>213.405</v>
      </c>
      <c r="H128" s="596">
        <f>H127*$C$111</f>
        <v>119.00999999999999</v>
      </c>
      <c r="I128" s="518"/>
    </row>
    <row r="129" spans="1:13">
      <c r="A129" s="192" t="s">
        <v>1607</v>
      </c>
      <c r="B129" s="516">
        <f>'Summary '!B41</f>
        <v>0.4</v>
      </c>
      <c r="C129" s="516">
        <f>'Summary '!C41</f>
        <v>0.5</v>
      </c>
      <c r="D129" s="516">
        <f>'Summary '!D41</f>
        <v>0.85</v>
      </c>
      <c r="E129" s="649"/>
      <c r="F129" s="516">
        <f>'Summary '!E41</f>
        <v>0.95</v>
      </c>
      <c r="G129" s="516">
        <f>'Summary '!F41</f>
        <v>1</v>
      </c>
      <c r="H129" s="560">
        <f>'Summary '!G41</f>
        <v>1</v>
      </c>
      <c r="I129" s="516"/>
    </row>
    <row r="130" spans="1:13">
      <c r="A130" s="347" t="s">
        <v>1736</v>
      </c>
      <c r="B130" s="651">
        <f>B129*0.3</f>
        <v>0.12</v>
      </c>
      <c r="C130" s="651">
        <f>C129*0.4</f>
        <v>0.2</v>
      </c>
      <c r="D130" s="651">
        <f>D129*0.5</f>
        <v>0.42499999999999999</v>
      </c>
      <c r="E130" s="652"/>
      <c r="F130" s="651">
        <f>F129*0.6</f>
        <v>0.56999999999999995</v>
      </c>
      <c r="G130" s="651">
        <f>G129*0.7</f>
        <v>0.7</v>
      </c>
      <c r="H130" s="653">
        <f>H129*0.7</f>
        <v>0.7</v>
      </c>
      <c r="I130" s="651"/>
      <c r="K130" s="175" t="s">
        <v>1735</v>
      </c>
    </row>
    <row r="131" spans="1:13" ht="15">
      <c r="A131" s="135" t="s">
        <v>1270</v>
      </c>
      <c r="B131" s="200"/>
      <c r="C131" s="200"/>
      <c r="D131" s="200"/>
      <c r="E131" s="200"/>
      <c r="F131" s="200"/>
      <c r="G131" s="200"/>
      <c r="H131" s="597"/>
      <c r="I131" s="200"/>
    </row>
    <row r="132" spans="1:13">
      <c r="A132" s="196" t="s">
        <v>1254</v>
      </c>
      <c r="B132" s="175"/>
      <c r="C132" s="201">
        <f>(C126-$B$126)*$B$128</f>
        <v>189089.99046270014</v>
      </c>
      <c r="D132" s="201">
        <f>(D126-$B$126)*$B$128</f>
        <v>676744.83621270012</v>
      </c>
      <c r="E132" s="201">
        <f>(E126-$B$126)*$B$128*B129</f>
        <v>424364.81867016008</v>
      </c>
      <c r="F132" s="201">
        <f>(F126-$B$126)*$B$128</f>
        <v>1060912.0466754001</v>
      </c>
      <c r="G132" s="201">
        <f>(G126-$B$126)*$B$128</f>
        <v>1353527.8766754002</v>
      </c>
      <c r="H132" s="593">
        <f>(H126-$B$126)*$B$128</f>
        <v>1841220.9266754002</v>
      </c>
      <c r="I132" s="201">
        <f>(I126-$B$126)*$B$128*B130*(1-K132)</f>
        <v>59688.95311979999</v>
      </c>
      <c r="K132" s="630">
        <v>0.66</v>
      </c>
      <c r="L132" s="175" t="s">
        <v>1738</v>
      </c>
    </row>
    <row r="133" spans="1:13">
      <c r="A133" s="192" t="s">
        <v>1253</v>
      </c>
      <c r="B133" s="428"/>
      <c r="C133" s="428"/>
      <c r="D133" s="428">
        <f>(D126-$C$126)*$C$128</f>
        <v>317866.92491250002</v>
      </c>
      <c r="E133" s="428">
        <f>(E126-$C$126)*$C$128*$C$129</f>
        <v>284138.87249804253</v>
      </c>
      <c r="F133" s="428">
        <f>(F126-$C$126)*$C$128</f>
        <v>568277.74499608506</v>
      </c>
      <c r="G133" s="428">
        <f>(G126-$C$126)*$C$128</f>
        <v>759012.84149608517</v>
      </c>
      <c r="H133" s="594">
        <f>(H126-$C$126)*$C$128</f>
        <v>1076904.6689960852</v>
      </c>
      <c r="I133" s="428">
        <f>(I126-$C$126)*$C$128*C130*(1-K132)</f>
        <v>56463.574624466215</v>
      </c>
    </row>
    <row r="134" spans="1:13">
      <c r="A134" s="196" t="s">
        <v>1197</v>
      </c>
      <c r="B134" s="201"/>
      <c r="C134" s="201"/>
      <c r="D134" s="201"/>
      <c r="E134" s="201">
        <f>(E126-$D$126)*$D$128*$D$129</f>
        <v>352759.28415039374</v>
      </c>
      <c r="F134" s="201">
        <f>(F126-$D$126)*$D$128</f>
        <v>415010.92252987501</v>
      </c>
      <c r="G134" s="201">
        <f>(G126-$D$126)*$D$128</f>
        <v>731120.06002987514</v>
      </c>
      <c r="H134" s="593">
        <f>(H126-$D$126)*$D$128</f>
        <v>1257968.622529875</v>
      </c>
      <c r="I134" s="201">
        <f>(I126-$D$126)*$D$128*D130*(1-K132)</f>
        <v>122730.07568787053</v>
      </c>
    </row>
    <row r="135" spans="1:13">
      <c r="A135" s="192" t="s">
        <v>1196</v>
      </c>
      <c r="B135" s="428"/>
      <c r="C135" s="428"/>
      <c r="D135" s="428"/>
      <c r="E135" s="428"/>
      <c r="F135" s="428"/>
      <c r="G135" s="428">
        <f>(G126-$F$126)*$F$128</f>
        <v>898834.84470000037</v>
      </c>
      <c r="H135" s="594">
        <f>(H126-$F$126)*$F$128</f>
        <v>2396892.9192000004</v>
      </c>
      <c r="I135" s="428">
        <f>(I126-$F$126)*$F$128*F130*(1-K132)</f>
        <v>239341.8329426235</v>
      </c>
    </row>
    <row r="136" spans="1:13">
      <c r="A136" s="196" t="s">
        <v>1195</v>
      </c>
      <c r="B136" s="201"/>
      <c r="C136" s="201"/>
      <c r="D136" s="201"/>
      <c r="E136" s="201"/>
      <c r="F136" s="201"/>
      <c r="G136" s="201"/>
      <c r="H136" s="593">
        <f>(H126-$G$126)*$G$128</f>
        <v>226449.38062499999</v>
      </c>
      <c r="I136" s="201">
        <f>(I126-$G$126)*$G$128*G130*(1-K132)</f>
        <v>12093.843931421976</v>
      </c>
    </row>
    <row r="137" spans="1:13">
      <c r="A137" s="196" t="s">
        <v>1199</v>
      </c>
      <c r="B137" s="201"/>
      <c r="C137" s="201"/>
      <c r="D137" s="201"/>
      <c r="E137" s="201"/>
      <c r="F137" s="201"/>
      <c r="G137" s="201"/>
      <c r="H137" s="593"/>
      <c r="I137" s="201">
        <f>(I126-$H$126)*$H$128*H130*(1-K132)</f>
        <v>-23311.30920694739</v>
      </c>
    </row>
    <row r="138" spans="1:13" ht="15" thickBot="1">
      <c r="A138" s="202" t="s">
        <v>1266</v>
      </c>
      <c r="B138" s="203"/>
      <c r="C138" s="203">
        <f>SUM(C132:C136)</f>
        <v>189089.99046270014</v>
      </c>
      <c r="D138" s="203">
        <f t="shared" ref="D138:G138" si="51">SUM(D132:D136)</f>
        <v>994611.7611252002</v>
      </c>
      <c r="E138" s="203">
        <f t="shared" si="51"/>
        <v>1061262.9753185962</v>
      </c>
      <c r="F138" s="203">
        <f t="shared" si="51"/>
        <v>2044200.7142013602</v>
      </c>
      <c r="G138" s="203">
        <f t="shared" si="51"/>
        <v>3742495.6229013605</v>
      </c>
      <c r="H138" s="598">
        <f>SUM(H132:H136)</f>
        <v>6799436.5180263612</v>
      </c>
      <c r="I138" s="203">
        <f>SUM(I132:I136)</f>
        <v>490318.28030618222</v>
      </c>
    </row>
    <row r="139" spans="1:13" ht="21" customHeight="1">
      <c r="A139" s="187"/>
      <c r="B139" s="206"/>
      <c r="C139" s="206"/>
      <c r="D139" s="206"/>
    </row>
    <row r="140" spans="1:13" ht="16.5" thickBot="1">
      <c r="A140" s="373" t="s">
        <v>1518</v>
      </c>
      <c r="B140" s="374"/>
      <c r="C140" s="374"/>
      <c r="D140" s="175"/>
    </row>
    <row r="141" spans="1:13" ht="15.75">
      <c r="A141" s="176"/>
      <c r="B141" s="655" t="s">
        <v>56</v>
      </c>
      <c r="C141" s="656"/>
      <c r="D141" s="656"/>
      <c r="E141" s="656"/>
      <c r="F141" s="656"/>
      <c r="G141" s="656"/>
      <c r="H141" s="656"/>
      <c r="I141" s="656"/>
      <c r="J141" s="656"/>
      <c r="K141" s="656"/>
      <c r="M141" s="175" t="s">
        <v>1727</v>
      </c>
    </row>
    <row r="142" spans="1:13" ht="15">
      <c r="A142" s="64" t="s">
        <v>1210</v>
      </c>
      <c r="B142" s="189">
        <v>1</v>
      </c>
      <c r="C142" s="189">
        <v>2</v>
      </c>
      <c r="D142" s="189">
        <v>3</v>
      </c>
      <c r="E142" s="189">
        <v>4</v>
      </c>
      <c r="F142" s="189">
        <v>5</v>
      </c>
      <c r="G142" s="189">
        <v>6</v>
      </c>
      <c r="H142" s="189">
        <v>7</v>
      </c>
      <c r="I142" s="189">
        <v>8</v>
      </c>
      <c r="J142" s="189">
        <v>9</v>
      </c>
      <c r="K142" s="189">
        <v>10</v>
      </c>
    </row>
    <row r="143" spans="1:13" ht="16.5" customHeight="1">
      <c r="A143" s="631" t="s">
        <v>1204</v>
      </c>
      <c r="B143" s="632">
        <f>($B$16+$B$55)*'Summary '!$A$35</f>
        <v>408000</v>
      </c>
      <c r="C143" s="632">
        <f>($B$16+$B$56)*'Summary '!$A$35</f>
        <v>408000</v>
      </c>
      <c r="D143" s="632">
        <f>($B$16)*'Summary '!$A$35</f>
        <v>408000</v>
      </c>
      <c r="E143" s="632">
        <f>($B$16)*'Summary '!$A$35</f>
        <v>408000</v>
      </c>
      <c r="F143" s="632">
        <f>($B$16)*'Summary '!$A$35</f>
        <v>408000</v>
      </c>
      <c r="G143" s="632">
        <f>($B$16)*'Summary '!$A$35</f>
        <v>408000</v>
      </c>
      <c r="H143" s="632">
        <f>($B$16)*'Summary '!$A$35</f>
        <v>408000</v>
      </c>
      <c r="I143" s="632">
        <f>($B$16)*'Summary '!$A$35</f>
        <v>408000</v>
      </c>
      <c r="J143" s="632">
        <f>($B$16)*'Summary '!$A$35</f>
        <v>408000</v>
      </c>
      <c r="K143" s="632">
        <f>($B$16)*'Summary '!$A$35</f>
        <v>408000</v>
      </c>
      <c r="M143" s="630">
        <f>((B16*10+B57)*'Summary '!A35)/SUM(B143:K143)</f>
        <v>1</v>
      </c>
    </row>
    <row r="144" spans="1:13" ht="16.5" customHeight="1">
      <c r="A144" s="190" t="s">
        <v>1253</v>
      </c>
      <c r="B144" s="191">
        <f>($C$16+$C$138)*'Summary '!A35+C55</f>
        <v>813134.01670579519</v>
      </c>
      <c r="C144" s="191">
        <f>($C$16+$C$138)*'Summary '!A35+C56</f>
        <v>794134.01670579519</v>
      </c>
      <c r="D144" s="191">
        <f>($C$16*'Summary '!$A$35)+$C$138</f>
        <v>737316.01861325512</v>
      </c>
      <c r="E144" s="191">
        <f>($C$16*'Summary '!$A$35)+$C$138</f>
        <v>737316.01861325512</v>
      </c>
      <c r="F144" s="191">
        <f>($C$16*'Summary '!$A$35)+$C$138</f>
        <v>737316.01861325512</v>
      </c>
      <c r="G144" s="191">
        <f>($C$16*'Summary '!$A$35)+$C$138</f>
        <v>737316.01861325512</v>
      </c>
      <c r="H144" s="191">
        <f>($C$16*'Summary '!$A$35)+$C$138</f>
        <v>737316.01861325512</v>
      </c>
      <c r="I144" s="191">
        <f>($C$16*'Summary '!$A$35)+$C$138</f>
        <v>737316.01861325512</v>
      </c>
      <c r="J144" s="191">
        <f>($C$16*'Summary '!$A$35)+$C$138</f>
        <v>737316.01861325512</v>
      </c>
      <c r="K144" s="191">
        <f>($C$16*'Summary '!$A$35)+$C$138</f>
        <v>737316.01861325512</v>
      </c>
      <c r="M144" s="630">
        <f>(C16*10+C57)*'Summary '!A35/SUM(B144:K144)</f>
        <v>0.73951652118957811</v>
      </c>
    </row>
    <row r="145" spans="1:13" ht="16.5" customHeight="1">
      <c r="A145" s="192" t="s">
        <v>1197</v>
      </c>
      <c r="B145" s="193">
        <f>($D$16+$D$138)*'Summary '!A35+D55</f>
        <v>1835858.0781987461</v>
      </c>
      <c r="C145" s="193">
        <f>($D$16+$D$138)*'Summary '!A35+D56</f>
        <v>1797358.0781987461</v>
      </c>
      <c r="D145" s="193">
        <f>$D$16*'Summary '!$A$35+$D$138</f>
        <v>1559935.725973706</v>
      </c>
      <c r="E145" s="193">
        <f>$D$16*'Summary '!$A$35+$D$138</f>
        <v>1559935.725973706</v>
      </c>
      <c r="F145" s="193">
        <f>$D$16*'Summary '!$A$35+$D$138</f>
        <v>1559935.725973706</v>
      </c>
      <c r="G145" s="193">
        <f>$D$16*'Summary '!$A$35+$D$138</f>
        <v>1559935.725973706</v>
      </c>
      <c r="H145" s="193">
        <f>$D$16*'Summary '!$A$35+$D$138</f>
        <v>1559935.725973706</v>
      </c>
      <c r="I145" s="193">
        <f>$D$16*'Summary '!$A$35+$D$138</f>
        <v>1559935.725973706</v>
      </c>
      <c r="J145" s="193">
        <f>$D$16*'Summary '!$A$35+$D$138</f>
        <v>1559935.725973706</v>
      </c>
      <c r="K145" s="193">
        <f>$D$16*'Summary '!$A$35+$D$138</f>
        <v>1559935.725973706</v>
      </c>
      <c r="M145" s="630">
        <f>(D16*10+D57)*'Summary '!A35/SUM(B145:K145)</f>
        <v>0.35945800160384495</v>
      </c>
    </row>
    <row r="146" spans="1:13" ht="16.5" customHeight="1">
      <c r="A146" s="190" t="s">
        <v>1593</v>
      </c>
      <c r="B146" s="191">
        <f>($E$16+$E$138)*'Summary '!A35+E55</f>
        <v>1984506.9260519072</v>
      </c>
      <c r="C146" s="191">
        <f>($E$16+$E$138)*'Summary '!A35+E56</f>
        <v>1917006.9260519072</v>
      </c>
      <c r="D146" s="191">
        <f>$E$16*'Summary '!$A$35+$E$138</f>
        <v>1637254.330988188</v>
      </c>
      <c r="E146" s="191">
        <f>$E$16*'Summary '!$A$35+$E$138</f>
        <v>1637254.330988188</v>
      </c>
      <c r="F146" s="191">
        <f>$E$16*'Summary '!$A$35+$E$138</f>
        <v>1637254.330988188</v>
      </c>
      <c r="G146" s="191">
        <f>$E$16*'Summary '!$A$35+$E$138</f>
        <v>1637254.330988188</v>
      </c>
      <c r="H146" s="191">
        <f>$E$16*'Summary '!$A$35+$E$138</f>
        <v>1637254.330988188</v>
      </c>
      <c r="I146" s="191">
        <f>$E$16*'Summary '!$A$35+$E$138</f>
        <v>1637254.330988188</v>
      </c>
      <c r="J146" s="191">
        <f>$E$16*'Summary '!$A$35+$E$138</f>
        <v>1637254.330988188</v>
      </c>
      <c r="K146" s="191">
        <f>$E$16*'Summary '!$A$35+$E$138</f>
        <v>1637254.330988188</v>
      </c>
      <c r="M146" s="630">
        <f>(E16*10+E57)*'Summary '!A35/SUM(B146:K146)</f>
        <v>0.35312194066169633</v>
      </c>
    </row>
    <row r="147" spans="1:13" ht="16.5" customHeight="1">
      <c r="A147" s="190" t="s">
        <v>1196</v>
      </c>
      <c r="B147" s="191">
        <f>($F$16+$F$138)*'Summary '!A35+F55</f>
        <v>3312178.5842063371</v>
      </c>
      <c r="C147" s="191">
        <f>($F$16+$F$138)*'Summary '!A35+F56</f>
        <v>3244678.5842063371</v>
      </c>
      <c r="D147" s="191">
        <f>$F$16*'Summary '!$A$35+$F$138</f>
        <v>2768338.4413660653</v>
      </c>
      <c r="E147" s="191">
        <f>$F$16*'Summary '!$A$35+$F$138</f>
        <v>2768338.4413660653</v>
      </c>
      <c r="F147" s="191">
        <f>$F$16*'Summary '!$A$35+$F$138</f>
        <v>2768338.4413660653</v>
      </c>
      <c r="G147" s="191">
        <f>$F$16*'Summary '!$A$35+$F$138</f>
        <v>2768338.4413660653</v>
      </c>
      <c r="H147" s="191">
        <f>$F$16*'Summary '!$A$35+$F$138</f>
        <v>2768338.4413660653</v>
      </c>
      <c r="I147" s="191">
        <f>$F$16*'Summary '!$A$35+$F$138</f>
        <v>2768338.4413660653</v>
      </c>
      <c r="J147" s="191">
        <f>$F$16*'Summary '!$A$35+$F$138</f>
        <v>2768338.4413660653</v>
      </c>
      <c r="K147" s="191">
        <f>$F$16*'Summary '!$A$35+$F$138</f>
        <v>2768338.4413660653</v>
      </c>
      <c r="M147" s="630">
        <f>(F16*10+F57)*'Summary '!A35/SUM(B147:K147)</f>
        <v>0.26074730961269177</v>
      </c>
    </row>
    <row r="148" spans="1:13" ht="16.5" customHeight="1">
      <c r="A148" s="190" t="s">
        <v>1195</v>
      </c>
      <c r="B148" s="191">
        <f>($G$16+$G$138)*'Summary '!A35+G55</f>
        <v>5967395.8958662478</v>
      </c>
      <c r="C148" s="191">
        <f>($G$16+$G$138)*'Summary '!A35+G56</f>
        <v>5803895.8958662478</v>
      </c>
      <c r="D148" s="191">
        <f>$G$16*'Summary '!$A$35+$G$138</f>
        <v>4891896.7712859754</v>
      </c>
      <c r="E148" s="191">
        <f>$G$16*'Summary '!$A$35+$G$138</f>
        <v>4891896.7712859754</v>
      </c>
      <c r="F148" s="191">
        <f>$G$16*'Summary '!$A$35+$G$138</f>
        <v>4891896.7712859754</v>
      </c>
      <c r="G148" s="191">
        <f>$G$16*'Summary '!$A$35+$G$138</f>
        <v>4891896.7712859754</v>
      </c>
      <c r="H148" s="191">
        <f>$G$16*'Summary '!$A$35+$G$138</f>
        <v>4891896.7712859754</v>
      </c>
      <c r="I148" s="191">
        <f>$G$16*'Summary '!$A$35+$G$138</f>
        <v>4891896.7712859754</v>
      </c>
      <c r="J148" s="191">
        <f>$G$16*'Summary '!$A$35+$G$138</f>
        <v>4891896.7712859754</v>
      </c>
      <c r="K148" s="191">
        <f>$G$16*'Summary '!$A$35+$G$138</f>
        <v>4891896.7712859754</v>
      </c>
      <c r="M148" s="630">
        <f>(G16*10+G57)*'Summary '!A35/SUM(B148:K148)</f>
        <v>0.23734924936373722</v>
      </c>
    </row>
    <row r="149" spans="1:13" ht="16.5" customHeight="1">
      <c r="A149" s="190" t="s">
        <v>1199</v>
      </c>
      <c r="B149" s="191">
        <f>($H$16+$H$138)*'Summary '!A35+H55</f>
        <v>9858069.1252470184</v>
      </c>
      <c r="C149" s="191">
        <f>($H$16+$H$138)*'Summary '!A35+H56</f>
        <v>9677069.1252470184</v>
      </c>
      <c r="D149" s="191">
        <f>$H$16*'Summary '!$A$35+$H$138</f>
        <v>8136181.821641746</v>
      </c>
      <c r="E149" s="191">
        <f>$H$16*'Summary '!$A$35+$H$138</f>
        <v>8136181.821641746</v>
      </c>
      <c r="F149" s="191">
        <f>$H$16*'Summary '!$A$35+$H$138</f>
        <v>8136181.821641746</v>
      </c>
      <c r="G149" s="191">
        <f>$H$16*'Summary '!$A$35+$H$138</f>
        <v>8136181.821641746</v>
      </c>
      <c r="H149" s="191">
        <f>$H$16*'Summary '!$A$35+$H$138</f>
        <v>8136181.821641746</v>
      </c>
      <c r="I149" s="191">
        <f>$H$16*'Summary '!$A$35+$H$138</f>
        <v>8136181.821641746</v>
      </c>
      <c r="J149" s="191">
        <f>$H$16*'Summary '!$A$35+$H$138</f>
        <v>8136181.821641746</v>
      </c>
      <c r="K149" s="191">
        <f>$H$16*'Summary '!$A$35+$H$138</f>
        <v>8136181.821641746</v>
      </c>
      <c r="M149" s="630">
        <f>(H16*10+H57)*'Summary '!A35/SUM(B149:K149)</f>
        <v>0.16566168968602224</v>
      </c>
    </row>
    <row r="150" spans="1:13" ht="15" thickBot="1">
      <c r="A150" s="588" t="s">
        <v>1689</v>
      </c>
      <c r="B150" s="589">
        <f>($I$16+$I$55)*'Summary '!A35+$I$138</f>
        <v>1281225.8377707975</v>
      </c>
      <c r="C150" s="355">
        <f>($I$16+$I$56)*'Summary '!A35+$I$138</f>
        <v>1200225.8377707975</v>
      </c>
      <c r="D150" s="355">
        <f>$I$16*'Summary '!$A$35+$I$138</f>
        <v>1119225.8377707975</v>
      </c>
      <c r="E150" s="355">
        <f>$I$16*'Summary '!$A$35+$I$138</f>
        <v>1119225.8377707975</v>
      </c>
      <c r="F150" s="355">
        <f>$I$16*'Summary '!$A$35+$I$138</f>
        <v>1119225.8377707975</v>
      </c>
      <c r="G150" s="355">
        <f>$I$16*'Summary '!$A$35+$I$138</f>
        <v>1119225.8377707975</v>
      </c>
      <c r="H150" s="355">
        <f>$I$16*'Summary '!$A$35+$I$138</f>
        <v>1119225.8377707975</v>
      </c>
      <c r="I150" s="355">
        <f>$I$16*'Summary '!$A$35+$I$138</f>
        <v>1119225.8377707975</v>
      </c>
      <c r="J150" s="355">
        <f>$I$16*'Summary '!$A$35+$I$138</f>
        <v>1119225.8377707975</v>
      </c>
      <c r="K150" s="355">
        <f>$I$16*'Summary '!$A$35+$I$138</f>
        <v>1119225.8377707975</v>
      </c>
      <c r="M150" s="630">
        <f>(I16*10+I57)*'Summary '!A35/SUM(B150:K150)</f>
        <v>0.57122238596548525</v>
      </c>
    </row>
    <row r="151" spans="1:13">
      <c r="A151" s="187"/>
      <c r="B151" s="191"/>
      <c r="C151" s="191"/>
      <c r="D151" s="191"/>
      <c r="E151" s="191"/>
      <c r="F151" s="191"/>
      <c r="G151" s="191"/>
      <c r="H151" s="191"/>
      <c r="I151" s="191"/>
      <c r="J151" s="191"/>
      <c r="K151" s="191"/>
    </row>
    <row r="152" spans="1:13">
      <c r="A152" s="212" t="s">
        <v>1248</v>
      </c>
    </row>
    <row r="153" spans="1:13">
      <c r="A153" s="7" t="s">
        <v>1430</v>
      </c>
    </row>
    <row r="154" spans="1:13">
      <c r="A154" s="213" t="s">
        <v>1431</v>
      </c>
    </row>
    <row r="155" spans="1:13">
      <c r="A155" s="7" t="s">
        <v>1432</v>
      </c>
    </row>
    <row r="156" spans="1:13">
      <c r="A156" s="213" t="s">
        <v>1433</v>
      </c>
    </row>
    <row r="157" spans="1:13">
      <c r="A157" s="175" t="s">
        <v>1624</v>
      </c>
    </row>
    <row r="158" spans="1:13">
      <c r="A158" s="213" t="s">
        <v>1623</v>
      </c>
    </row>
  </sheetData>
  <sheetProtection algorithmName="SHA-512" hashValue="uybX6JW/yJi8VYGgB9e5O7t7jIUPjAg912e+pjOHnDhszu9oxZE8/yfakDQQd3R3ro+3HlkVjpxu7LDmlO8u2Q==" saltValue="g3lvhnnRa/La66GS9pKiuA==" spinCount="100000" sheet="1" objects="1" scenarios="1"/>
  <mergeCells count="26">
    <mergeCell ref="B80:D80"/>
    <mergeCell ref="B93:D93"/>
    <mergeCell ref="B94:C94"/>
    <mergeCell ref="D94:D95"/>
    <mergeCell ref="F93:F95"/>
    <mergeCell ref="B141:K141"/>
    <mergeCell ref="H64:H66"/>
    <mergeCell ref="J64:J66"/>
    <mergeCell ref="E80:E82"/>
    <mergeCell ref="G80:G82"/>
    <mergeCell ref="E93:E95"/>
    <mergeCell ref="G93:G95"/>
    <mergeCell ref="F65:F66"/>
    <mergeCell ref="G65:G66"/>
    <mergeCell ref="F80:F82"/>
    <mergeCell ref="I64:I66"/>
    <mergeCell ref="B64:G64"/>
    <mergeCell ref="B65:E65"/>
    <mergeCell ref="B115:I115"/>
    <mergeCell ref="D81:D82"/>
    <mergeCell ref="B81:C81"/>
    <mergeCell ref="B4:I4"/>
    <mergeCell ref="B22:I22"/>
    <mergeCell ref="B36:I36"/>
    <mergeCell ref="B47:I47"/>
    <mergeCell ref="B53:I53"/>
  </mergeCells>
  <hyperlinks>
    <hyperlink ref="A154" r:id="rId1"/>
    <hyperlink ref="A156" r:id="rId2"/>
    <hyperlink ref="A158" r:id="rId3"/>
  </hyperlinks>
  <pageMargins left="0.7" right="0.7" top="0.75" bottom="0.75" header="0.3" footer="0.3"/>
  <pageSetup paperSize="9" scale="76" orientation="landscape"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41"/>
  <sheetViews>
    <sheetView zoomScale="90" zoomScaleNormal="90" workbookViewId="0">
      <selection activeCell="B6" sqref="B6"/>
    </sheetView>
  </sheetViews>
  <sheetFormatPr defaultColWidth="9.125" defaultRowHeight="14.25"/>
  <cols>
    <col min="1" max="1" width="45.125" style="7" customWidth="1"/>
    <col min="2" max="2" width="18.25" style="7" customWidth="1"/>
    <col min="3" max="4" width="18.25" style="215" customWidth="1"/>
    <col min="5" max="12" width="18.25" style="7" customWidth="1"/>
    <col min="13" max="13" width="13.875" style="7" bestFit="1" customWidth="1"/>
    <col min="14" max="14" width="14.625" style="7" customWidth="1"/>
    <col min="15" max="15" width="9.25" style="7" bestFit="1" customWidth="1"/>
    <col min="16" max="17" width="9.125" style="7"/>
    <col min="18" max="18" width="14.875" style="7" customWidth="1"/>
    <col min="19" max="19" width="11.25" style="7" bestFit="1" customWidth="1"/>
    <col min="20" max="16384" width="9.125" style="7"/>
  </cols>
  <sheetData>
    <row r="1" spans="1:14" ht="20.25">
      <c r="A1" s="214" t="s">
        <v>1497</v>
      </c>
    </row>
    <row r="3" spans="1:14">
      <c r="A3" s="7" t="s">
        <v>1183</v>
      </c>
      <c r="M3" s="216"/>
      <c r="N3" s="32"/>
    </row>
    <row r="5" spans="1:14" ht="15">
      <c r="A5" s="1" t="s">
        <v>1589</v>
      </c>
      <c r="B5" s="496">
        <f>ROUND(G27,-8)*'Summary '!A62</f>
        <v>1100000000</v>
      </c>
      <c r="E5" s="226"/>
    </row>
    <row r="7" spans="1:14" ht="15">
      <c r="A7" s="12" t="s">
        <v>1508</v>
      </c>
      <c r="B7" s="217"/>
    </row>
    <row r="8" spans="1:14" ht="15" thickBot="1">
      <c r="A8" s="9" t="s">
        <v>1498</v>
      </c>
      <c r="B8" s="13"/>
    </row>
    <row r="9" spans="1:14" ht="15">
      <c r="A9" s="423"/>
      <c r="B9" s="688" t="s">
        <v>1503</v>
      </c>
      <c r="C9" s="689"/>
      <c r="D9" s="689"/>
      <c r="E9" s="689"/>
      <c r="F9" s="689"/>
      <c r="G9" s="689"/>
      <c r="H9" s="690"/>
      <c r="I9" s="376"/>
    </row>
    <row r="10" spans="1:14" ht="30">
      <c r="A10" s="67" t="s">
        <v>1182</v>
      </c>
      <c r="B10" s="218" t="s">
        <v>1178</v>
      </c>
      <c r="C10" s="218" t="s">
        <v>1179</v>
      </c>
      <c r="D10" s="218" t="s">
        <v>1180</v>
      </c>
      <c r="E10" s="218" t="s">
        <v>1588</v>
      </c>
      <c r="F10" s="218" t="s">
        <v>1586</v>
      </c>
      <c r="G10" s="218" t="s">
        <v>1587</v>
      </c>
      <c r="H10" s="418" t="s">
        <v>1181</v>
      </c>
      <c r="I10" s="189" t="s">
        <v>147</v>
      </c>
    </row>
    <row r="11" spans="1:14">
      <c r="A11" s="223" t="s">
        <v>1533</v>
      </c>
      <c r="B11" s="219">
        <v>94472088651</v>
      </c>
      <c r="C11" s="219">
        <v>87333077697</v>
      </c>
      <c r="D11" s="219">
        <v>1121502777</v>
      </c>
      <c r="E11" s="219">
        <v>846580988</v>
      </c>
      <c r="F11" s="219">
        <v>142565454085</v>
      </c>
      <c r="G11" s="219">
        <v>2750109536</v>
      </c>
      <c r="H11" s="205">
        <v>210953622</v>
      </c>
      <c r="I11" s="219">
        <f>SUM(B11:H11)</f>
        <v>329299767356</v>
      </c>
    </row>
    <row r="12" spans="1:14">
      <c r="A12" s="222" t="s">
        <v>1534</v>
      </c>
      <c r="B12" s="220">
        <v>24661388604</v>
      </c>
      <c r="C12" s="220">
        <v>2368942233</v>
      </c>
      <c r="D12" s="220">
        <v>13261467416</v>
      </c>
      <c r="E12" s="220">
        <v>284208718</v>
      </c>
      <c r="F12" s="220">
        <v>4310390495</v>
      </c>
      <c r="G12" s="220">
        <v>0</v>
      </c>
      <c r="H12" s="221">
        <v>587777112</v>
      </c>
      <c r="I12" s="220">
        <f>SUM(B12:H12)</f>
        <v>45474174578</v>
      </c>
    </row>
    <row r="13" spans="1:14">
      <c r="A13" s="223" t="s">
        <v>1535</v>
      </c>
      <c r="B13" s="219">
        <v>12216872508</v>
      </c>
      <c r="C13" s="219">
        <v>4275651836</v>
      </c>
      <c r="D13" s="219">
        <v>3526133</v>
      </c>
      <c r="E13" s="219">
        <v>2103496</v>
      </c>
      <c r="F13" s="219">
        <v>366841744</v>
      </c>
      <c r="G13" s="219">
        <v>287762</v>
      </c>
      <c r="H13" s="205">
        <v>1271433</v>
      </c>
      <c r="I13" s="219">
        <f>SUM(B13:H13)</f>
        <v>16866554912</v>
      </c>
    </row>
    <row r="14" spans="1:14">
      <c r="A14" s="222" t="s">
        <v>1536</v>
      </c>
      <c r="B14" s="429">
        <v>5691089678</v>
      </c>
      <c r="C14" s="429">
        <v>4275651836</v>
      </c>
      <c r="D14" s="429">
        <v>23721262</v>
      </c>
      <c r="E14" s="429">
        <v>137434</v>
      </c>
      <c r="F14" s="429">
        <v>1467366977</v>
      </c>
      <c r="G14" s="429">
        <v>0</v>
      </c>
      <c r="H14" s="430">
        <v>12568425</v>
      </c>
      <c r="I14" s="429">
        <f>SUM(B14:H14)</f>
        <v>11470535612</v>
      </c>
    </row>
    <row r="15" spans="1:14">
      <c r="A15" s="424" t="s">
        <v>1532</v>
      </c>
      <c r="B15" s="421">
        <v>379405978</v>
      </c>
      <c r="C15" s="421">
        <v>28889539</v>
      </c>
      <c r="D15" s="421">
        <v>3205575</v>
      </c>
      <c r="E15" s="421">
        <v>19087</v>
      </c>
      <c r="F15" s="421">
        <v>3162428</v>
      </c>
      <c r="G15" s="421">
        <v>68514</v>
      </c>
      <c r="H15" s="422">
        <v>20843</v>
      </c>
      <c r="I15" s="421">
        <f>SUM(B15:H15)</f>
        <v>414771964</v>
      </c>
    </row>
    <row r="16" spans="1:14">
      <c r="A16" s="223" t="s">
        <v>1537</v>
      </c>
      <c r="B16" s="219">
        <f t="shared" ref="B16:I19" si="0">B11/B$15</f>
        <v>249.00000034000519</v>
      </c>
      <c r="C16" s="219">
        <f t="shared" si="0"/>
        <v>3023.0000449989875</v>
      </c>
      <c r="D16" s="219">
        <f t="shared" si="0"/>
        <v>349.86009592662782</v>
      </c>
      <c r="E16" s="219">
        <f t="shared" si="0"/>
        <v>44353.800387698437</v>
      </c>
      <c r="F16" s="219">
        <f t="shared" si="0"/>
        <v>45081.011831731819</v>
      </c>
      <c r="G16" s="219">
        <f t="shared" si="0"/>
        <v>40139.380798085062</v>
      </c>
      <c r="H16" s="205">
        <f t="shared" si="0"/>
        <v>10121.077675958355</v>
      </c>
      <c r="I16" s="219">
        <f t="shared" si="0"/>
        <v>793.92966723276402</v>
      </c>
    </row>
    <row r="17" spans="1:9">
      <c r="A17" s="222" t="s">
        <v>1538</v>
      </c>
      <c r="B17" s="220">
        <f t="shared" si="0"/>
        <v>65.000000089613764</v>
      </c>
      <c r="C17" s="220">
        <f t="shared" si="0"/>
        <v>82.000001211511204</v>
      </c>
      <c r="D17" s="220">
        <f t="shared" si="0"/>
        <v>4137.0011358336651</v>
      </c>
      <c r="E17" s="220">
        <f t="shared" si="0"/>
        <v>14890.172263844501</v>
      </c>
      <c r="F17" s="220">
        <f t="shared" si="0"/>
        <v>1363.0003576366007</v>
      </c>
      <c r="G17" s="220">
        <f t="shared" si="0"/>
        <v>0</v>
      </c>
      <c r="H17" s="221">
        <f t="shared" si="0"/>
        <v>28200.216475555342</v>
      </c>
      <c r="I17" s="220">
        <f t="shared" si="0"/>
        <v>109.63656786117781</v>
      </c>
    </row>
    <row r="18" spans="1:9">
      <c r="A18" s="223" t="s">
        <v>1539</v>
      </c>
      <c r="B18" s="219">
        <f t="shared" si="0"/>
        <v>32.200000043225465</v>
      </c>
      <c r="C18" s="219">
        <f t="shared" si="0"/>
        <v>148.00000221533477</v>
      </c>
      <c r="D18" s="219">
        <f t="shared" si="0"/>
        <v>1.1000001559782566</v>
      </c>
      <c r="E18" s="219">
        <f t="shared" si="0"/>
        <v>110.20568973646985</v>
      </c>
      <c r="F18" s="219">
        <f t="shared" si="0"/>
        <v>116.00003035642234</v>
      </c>
      <c r="G18" s="219">
        <f t="shared" si="0"/>
        <v>4.2000467057827597</v>
      </c>
      <c r="H18" s="205">
        <f t="shared" si="0"/>
        <v>61.000479777383298</v>
      </c>
      <c r="I18" s="219">
        <f t="shared" si="0"/>
        <v>40.664645578600393</v>
      </c>
    </row>
    <row r="19" spans="1:9">
      <c r="A19" s="222" t="s">
        <v>1540</v>
      </c>
      <c r="B19" s="220">
        <f t="shared" si="0"/>
        <v>15.000000021085594</v>
      </c>
      <c r="C19" s="220">
        <f t="shared" si="0"/>
        <v>148.00000221533477</v>
      </c>
      <c r="D19" s="220">
        <f t="shared" si="0"/>
        <v>7.4000021836955927</v>
      </c>
      <c r="E19" s="220">
        <f t="shared" si="0"/>
        <v>7.2003981767695286</v>
      </c>
      <c r="F19" s="220">
        <f t="shared" si="0"/>
        <v>464.00012174190209</v>
      </c>
      <c r="G19" s="220">
        <f t="shared" si="0"/>
        <v>0</v>
      </c>
      <c r="H19" s="221">
        <f t="shared" si="0"/>
        <v>603.00460586287966</v>
      </c>
      <c r="I19" s="220">
        <f t="shared" si="0"/>
        <v>27.655040859994095</v>
      </c>
    </row>
    <row r="20" spans="1:9" ht="15" customHeight="1" thickBot="1">
      <c r="A20" s="425" t="s">
        <v>1541</v>
      </c>
      <c r="B20" s="209">
        <f>B17+B18+B19</f>
        <v>112.20000015392482</v>
      </c>
      <c r="C20" s="209">
        <f t="shared" ref="C20" si="1">C17+C18+C19</f>
        <v>378.00000564218078</v>
      </c>
      <c r="D20" s="209">
        <f t="shared" ref="D20:I20" si="2">D17+D18+D19</f>
        <v>4145.5011381733393</v>
      </c>
      <c r="E20" s="209">
        <f t="shared" si="2"/>
        <v>15007.57835175774</v>
      </c>
      <c r="F20" s="209">
        <f t="shared" si="2"/>
        <v>1943.0005097349251</v>
      </c>
      <c r="G20" s="209">
        <f t="shared" si="2"/>
        <v>4.2000467057827597</v>
      </c>
      <c r="H20" s="208">
        <f t="shared" si="2"/>
        <v>28864.221561195605</v>
      </c>
      <c r="I20" s="209">
        <f t="shared" si="2"/>
        <v>177.9562542997723</v>
      </c>
    </row>
    <row r="21" spans="1:9">
      <c r="A21" s="215"/>
      <c r="B21" s="215"/>
    </row>
    <row r="22" spans="1:9" ht="15.75" thickBot="1">
      <c r="A22" s="224" t="s">
        <v>1499</v>
      </c>
      <c r="C22" s="7"/>
      <c r="D22" s="7"/>
    </row>
    <row r="23" spans="1:9" ht="15">
      <c r="A23" s="431"/>
      <c r="B23" s="691" t="s">
        <v>1503</v>
      </c>
      <c r="C23" s="692"/>
      <c r="D23" s="692"/>
      <c r="E23" s="692"/>
      <c r="F23" s="693"/>
      <c r="G23" s="376"/>
    </row>
    <row r="24" spans="1:9" ht="62.25">
      <c r="A24" s="195"/>
      <c r="B24" s="218" t="s">
        <v>1583</v>
      </c>
      <c r="C24" s="218" t="s">
        <v>1584</v>
      </c>
      <c r="D24" s="218" t="s">
        <v>1180</v>
      </c>
      <c r="E24" s="218" t="s">
        <v>1588</v>
      </c>
      <c r="F24" s="492" t="s">
        <v>1585</v>
      </c>
      <c r="G24" s="189" t="s">
        <v>147</v>
      </c>
    </row>
    <row r="25" spans="1:9">
      <c r="A25" s="433" t="s">
        <v>1500</v>
      </c>
      <c r="B25" s="219">
        <f>B20</f>
        <v>112.20000015392482</v>
      </c>
      <c r="C25" s="219">
        <f>C20</f>
        <v>378.00000564218078</v>
      </c>
      <c r="D25" s="219">
        <f>D20</f>
        <v>4145.5011381733393</v>
      </c>
      <c r="E25" s="219">
        <f>E20</f>
        <v>15007.57835175774</v>
      </c>
      <c r="F25" s="205">
        <f>F20</f>
        <v>1943.0005097349251</v>
      </c>
    </row>
    <row r="26" spans="1:9" ht="16.5">
      <c r="A26" s="228" t="s">
        <v>1565</v>
      </c>
      <c r="B26" s="434" t="s">
        <v>1326</v>
      </c>
      <c r="C26" s="429" t="s">
        <v>1326</v>
      </c>
      <c r="D26" s="429">
        <v>242544.77353721668</v>
      </c>
      <c r="E26" s="429">
        <v>749</v>
      </c>
      <c r="F26" s="430">
        <f>46872+9393+5192</f>
        <v>61457</v>
      </c>
      <c r="G26" s="435">
        <f>SUM(B26:F26)</f>
        <v>304750.77353721671</v>
      </c>
    </row>
    <row r="27" spans="1:9" ht="15.75" thickBot="1">
      <c r="A27" s="451" t="s">
        <v>1566</v>
      </c>
      <c r="B27" s="494" t="s">
        <v>1326</v>
      </c>
      <c r="C27" s="494" t="s">
        <v>1326</v>
      </c>
      <c r="D27" s="419">
        <f>D25*D26</f>
        <v>1005469634.7565266</v>
      </c>
      <c r="E27" s="419">
        <f t="shared" ref="E27:F27" si="3">E25*E26</f>
        <v>11240676.185466547</v>
      </c>
      <c r="F27" s="493">
        <f t="shared" si="3"/>
        <v>119410982.32677929</v>
      </c>
      <c r="G27" s="432">
        <f t="shared" ref="G27" si="4">SUM(D27:F27)</f>
        <v>1136121293.2687724</v>
      </c>
    </row>
    <row r="28" spans="1:9">
      <c r="B28" s="13"/>
      <c r="C28" s="13"/>
      <c r="D28" s="219"/>
      <c r="E28" s="219"/>
      <c r="F28" s="219"/>
      <c r="G28" s="227"/>
    </row>
    <row r="29" spans="1:9">
      <c r="A29" s="225" t="s">
        <v>1542</v>
      </c>
      <c r="B29" s="13"/>
      <c r="C29" s="13"/>
      <c r="D29" s="219"/>
      <c r="E29" s="219"/>
      <c r="F29" s="219"/>
      <c r="G29" s="227"/>
    </row>
    <row r="30" spans="1:9">
      <c r="A30" s="7" t="s">
        <v>1543</v>
      </c>
      <c r="B30" s="13"/>
      <c r="C30" s="13"/>
      <c r="D30" s="219"/>
      <c r="E30" s="219"/>
      <c r="F30" s="219"/>
      <c r="G30" s="227"/>
    </row>
    <row r="31" spans="1:9">
      <c r="A31" s="7" t="s">
        <v>1544</v>
      </c>
      <c r="B31" s="13"/>
      <c r="C31" s="13"/>
      <c r="D31" s="219"/>
      <c r="E31" s="219"/>
      <c r="F31" s="219"/>
      <c r="G31" s="227"/>
    </row>
    <row r="32" spans="1:9">
      <c r="A32" s="212" t="s">
        <v>1248</v>
      </c>
    </row>
    <row r="33" spans="1:6">
      <c r="A33" s="7" t="s">
        <v>1504</v>
      </c>
    </row>
    <row r="34" spans="1:6">
      <c r="A34" s="213" t="s">
        <v>1250</v>
      </c>
    </row>
    <row r="35" spans="1:6">
      <c r="A35" s="7" t="s">
        <v>1505</v>
      </c>
    </row>
    <row r="36" spans="1:6">
      <c r="A36" s="213" t="s">
        <v>1249</v>
      </c>
    </row>
    <row r="37" spans="1:6">
      <c r="A37" s="7" t="s">
        <v>1506</v>
      </c>
    </row>
    <row r="38" spans="1:6">
      <c r="A38" s="213" t="s">
        <v>1251</v>
      </c>
    </row>
    <row r="41" spans="1:6">
      <c r="D41" s="276"/>
      <c r="E41" s="276"/>
      <c r="F41" s="276"/>
    </row>
  </sheetData>
  <sheetProtection algorithmName="SHA-512" hashValue="Slfqup/ic+GyRfbsF7QLVMZFOwLsG5JXKbGZ1bo4azer3Cd9ZqLifFRmV6knLoXcdsJKbXk4K/RqF0YCWO48TQ==" saltValue="rhYDFYzOw0vUq93eAzcRaw==" spinCount="100000" sheet="1" objects="1" scenarios="1"/>
  <mergeCells count="2">
    <mergeCell ref="B9:H9"/>
    <mergeCell ref="B23:F23"/>
  </mergeCells>
  <hyperlinks>
    <hyperlink ref="A36" r:id="rId1"/>
    <hyperlink ref="A34" r:id="rId2"/>
    <hyperlink ref="A38" r:id="rId3"/>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7"/>
  <sheetViews>
    <sheetView topLeftCell="A106" zoomScale="80" zoomScaleNormal="80" workbookViewId="0">
      <selection activeCell="H6" sqref="H6"/>
    </sheetView>
  </sheetViews>
  <sheetFormatPr defaultRowHeight="14.25"/>
  <cols>
    <col min="1" max="4" width="12.75" customWidth="1"/>
    <col min="5" max="5" width="16.375" customWidth="1"/>
    <col min="6" max="17" width="12.75" customWidth="1"/>
  </cols>
  <sheetData>
    <row r="1" spans="1:17" ht="45">
      <c r="A1" s="125"/>
      <c r="B1" s="125" t="s">
        <v>1445</v>
      </c>
      <c r="C1" s="125" t="s">
        <v>1446</v>
      </c>
      <c r="D1" s="125"/>
      <c r="E1" s="126" t="s">
        <v>1447</v>
      </c>
      <c r="F1" s="668" t="s">
        <v>1448</v>
      </c>
      <c r="G1" s="701"/>
      <c r="H1" s="702"/>
      <c r="I1" s="668" t="s">
        <v>1449</v>
      </c>
      <c r="J1" s="701"/>
      <c r="K1" s="702"/>
      <c r="L1" s="668" t="s">
        <v>1450</v>
      </c>
      <c r="M1" s="701"/>
      <c r="N1" s="702"/>
      <c r="O1" s="125"/>
      <c r="P1" s="125"/>
      <c r="Q1" s="125"/>
    </row>
    <row r="2" spans="1:17" ht="75">
      <c r="A2" s="127" t="s">
        <v>1451</v>
      </c>
      <c r="B2" s="127" t="s">
        <v>0</v>
      </c>
      <c r="C2" s="127" t="s">
        <v>0</v>
      </c>
      <c r="D2" s="127" t="s">
        <v>1452</v>
      </c>
      <c r="E2" s="128" t="s">
        <v>1453</v>
      </c>
      <c r="F2" s="127" t="s">
        <v>1454</v>
      </c>
      <c r="G2" s="127" t="s">
        <v>1455</v>
      </c>
      <c r="H2" s="128" t="s">
        <v>1456</v>
      </c>
      <c r="I2" s="127" t="s">
        <v>1454</v>
      </c>
      <c r="J2" s="127" t="s">
        <v>1455</v>
      </c>
      <c r="K2" s="128" t="s">
        <v>1456</v>
      </c>
      <c r="L2" s="127" t="s">
        <v>1454</v>
      </c>
      <c r="M2" s="127" t="s">
        <v>1455</v>
      </c>
      <c r="N2" s="128" t="s">
        <v>1456</v>
      </c>
      <c r="O2" s="127" t="s">
        <v>1457</v>
      </c>
      <c r="P2" s="127" t="s">
        <v>1458</v>
      </c>
      <c r="Q2" s="127" t="s">
        <v>1459</v>
      </c>
    </row>
    <row r="3" spans="1:17">
      <c r="A3" s="4">
        <v>1</v>
      </c>
      <c r="B3" s="129">
        <v>1</v>
      </c>
      <c r="C3" s="129">
        <v>2</v>
      </c>
      <c r="D3" s="129">
        <v>-1</v>
      </c>
      <c r="E3" s="130" t="s">
        <v>1460</v>
      </c>
      <c r="F3" s="129">
        <v>12</v>
      </c>
      <c r="G3" s="129"/>
      <c r="H3" s="130"/>
      <c r="I3" s="129"/>
      <c r="J3" s="129"/>
      <c r="K3" s="130"/>
      <c r="L3" s="129"/>
      <c r="M3" s="129"/>
      <c r="N3" s="130"/>
      <c r="O3" s="4">
        <v>0</v>
      </c>
      <c r="P3" s="4"/>
      <c r="Q3" s="129"/>
    </row>
    <row r="4" spans="1:17">
      <c r="A4" s="4">
        <v>2</v>
      </c>
      <c r="B4" s="129">
        <v>1</v>
      </c>
      <c r="C4" s="129">
        <v>1</v>
      </c>
      <c r="D4" s="129">
        <v>0</v>
      </c>
      <c r="E4" s="130" t="s">
        <v>1461</v>
      </c>
      <c r="F4" s="129">
        <v>6</v>
      </c>
      <c r="G4" s="129">
        <v>3</v>
      </c>
      <c r="H4" s="130"/>
      <c r="I4" s="129">
        <v>12</v>
      </c>
      <c r="J4" s="129">
        <v>6</v>
      </c>
      <c r="K4" s="130">
        <v>3</v>
      </c>
      <c r="L4" s="129">
        <v>24</v>
      </c>
      <c r="M4" s="129">
        <v>12</v>
      </c>
      <c r="N4" s="130"/>
      <c r="O4" s="4">
        <v>366</v>
      </c>
      <c r="P4" s="4">
        <v>121</v>
      </c>
      <c r="Q4" s="129"/>
    </row>
    <row r="5" spans="1:17">
      <c r="A5" s="4">
        <v>3</v>
      </c>
      <c r="B5" s="129">
        <v>2</v>
      </c>
      <c r="C5" s="129"/>
      <c r="D5" s="129">
        <v>2</v>
      </c>
      <c r="E5" s="130" t="s">
        <v>1460</v>
      </c>
      <c r="F5" s="129">
        <v>12</v>
      </c>
      <c r="G5" s="129"/>
      <c r="H5" s="130"/>
      <c r="I5" s="129"/>
      <c r="J5" s="129"/>
      <c r="K5" s="130"/>
      <c r="L5" s="129"/>
      <c r="M5" s="129"/>
      <c r="N5" s="130"/>
      <c r="O5" s="4">
        <v>244</v>
      </c>
      <c r="P5" s="4">
        <v>244</v>
      </c>
      <c r="Q5" s="129"/>
    </row>
    <row r="6" spans="1:17">
      <c r="A6" s="4">
        <v>4</v>
      </c>
      <c r="B6" s="129">
        <v>1</v>
      </c>
      <c r="C6" s="129">
        <v>3</v>
      </c>
      <c r="D6" s="129">
        <v>-2</v>
      </c>
      <c r="E6" s="130" t="s">
        <v>1460</v>
      </c>
      <c r="F6" s="129">
        <v>36</v>
      </c>
      <c r="G6" s="129">
        <v>12</v>
      </c>
      <c r="H6" s="130">
        <v>12</v>
      </c>
      <c r="I6" s="129"/>
      <c r="J6" s="129"/>
      <c r="K6" s="130"/>
      <c r="L6" s="129"/>
      <c r="M6" s="129"/>
      <c r="N6" s="130"/>
      <c r="O6" s="4">
        <v>183</v>
      </c>
      <c r="P6" s="4"/>
      <c r="Q6" s="129"/>
    </row>
    <row r="7" spans="1:17">
      <c r="A7" s="4">
        <v>5</v>
      </c>
      <c r="B7" s="129">
        <v>3</v>
      </c>
      <c r="C7" s="129">
        <v>5</v>
      </c>
      <c r="D7" s="129">
        <v>-2</v>
      </c>
      <c r="E7" s="130" t="s">
        <v>116</v>
      </c>
      <c r="F7" s="129">
        <v>6</v>
      </c>
      <c r="G7" s="129"/>
      <c r="H7" s="130">
        <v>2</v>
      </c>
      <c r="I7" s="129">
        <v>12</v>
      </c>
      <c r="J7" s="129"/>
      <c r="K7" s="130"/>
      <c r="L7" s="129">
        <v>24</v>
      </c>
      <c r="M7" s="129"/>
      <c r="N7" s="130"/>
      <c r="O7" s="4">
        <v>183</v>
      </c>
      <c r="P7" s="4"/>
      <c r="Q7" s="129">
        <v>121</v>
      </c>
    </row>
    <row r="8" spans="1:17">
      <c r="A8" s="4">
        <v>7</v>
      </c>
      <c r="B8" s="129">
        <v>1</v>
      </c>
      <c r="C8" s="129">
        <v>2</v>
      </c>
      <c r="D8" s="129">
        <v>-1</v>
      </c>
      <c r="E8" s="130" t="s">
        <v>1461</v>
      </c>
      <c r="F8" s="129">
        <v>18</v>
      </c>
      <c r="G8" s="129"/>
      <c r="H8" s="130">
        <v>2</v>
      </c>
      <c r="I8" s="129">
        <v>30</v>
      </c>
      <c r="J8" s="129"/>
      <c r="K8" s="130">
        <v>6</v>
      </c>
      <c r="L8" s="129">
        <v>42</v>
      </c>
      <c r="M8" s="129"/>
      <c r="N8" s="130">
        <v>12</v>
      </c>
      <c r="O8" s="4">
        <v>244</v>
      </c>
      <c r="P8" s="4">
        <v>244</v>
      </c>
      <c r="Q8" s="129">
        <v>61</v>
      </c>
    </row>
    <row r="9" spans="1:17">
      <c r="A9" s="4">
        <v>8</v>
      </c>
      <c r="B9" s="129">
        <v>1</v>
      </c>
      <c r="C9" s="129">
        <v>5</v>
      </c>
      <c r="D9" s="129">
        <v>-4</v>
      </c>
      <c r="E9" s="130" t="s">
        <v>279</v>
      </c>
      <c r="F9" s="129">
        <v>6</v>
      </c>
      <c r="G9" s="129"/>
      <c r="H9" s="130"/>
      <c r="I9" s="129">
        <v>12</v>
      </c>
      <c r="J9" s="129"/>
      <c r="K9" s="130"/>
      <c r="L9" s="129">
        <v>24</v>
      </c>
      <c r="M9" s="129"/>
      <c r="N9" s="130"/>
      <c r="O9" s="4">
        <v>427</v>
      </c>
      <c r="P9" s="4">
        <v>61</v>
      </c>
      <c r="Q9" s="129"/>
    </row>
    <row r="10" spans="1:17">
      <c r="A10" s="4">
        <v>9</v>
      </c>
      <c r="B10" s="129">
        <v>0</v>
      </c>
      <c r="C10" s="129">
        <v>3</v>
      </c>
      <c r="D10" s="129">
        <v>-3</v>
      </c>
      <c r="E10" s="130" t="s">
        <v>116</v>
      </c>
      <c r="F10" s="129">
        <v>8</v>
      </c>
      <c r="G10" s="129">
        <v>4</v>
      </c>
      <c r="H10" s="130">
        <v>2</v>
      </c>
      <c r="I10" s="129">
        <v>12</v>
      </c>
      <c r="J10" s="129">
        <v>6</v>
      </c>
      <c r="K10" s="130">
        <v>3</v>
      </c>
      <c r="L10" s="129">
        <v>18</v>
      </c>
      <c r="M10" s="129">
        <v>12</v>
      </c>
      <c r="N10" s="149"/>
      <c r="O10" s="4">
        <v>244</v>
      </c>
      <c r="P10" s="4">
        <v>244</v>
      </c>
      <c r="Q10" s="129">
        <v>61</v>
      </c>
    </row>
    <row r="11" spans="1:17">
      <c r="A11" s="4">
        <v>10</v>
      </c>
      <c r="B11" s="129">
        <v>0</v>
      </c>
      <c r="C11" s="129">
        <v>3</v>
      </c>
      <c r="D11" s="129">
        <v>-3</v>
      </c>
      <c r="E11" s="130" t="s">
        <v>1462</v>
      </c>
      <c r="F11" s="129">
        <v>12</v>
      </c>
      <c r="G11" s="129">
        <v>6</v>
      </c>
      <c r="H11" s="130">
        <v>4</v>
      </c>
      <c r="I11" s="129">
        <v>20</v>
      </c>
      <c r="J11" s="129">
        <v>12</v>
      </c>
      <c r="K11" s="130">
        <v>6</v>
      </c>
      <c r="L11" s="129">
        <v>36</v>
      </c>
      <c r="M11" s="129">
        <v>24</v>
      </c>
      <c r="N11" s="130"/>
      <c r="O11" s="4">
        <v>0</v>
      </c>
      <c r="P11" s="4">
        <v>0</v>
      </c>
      <c r="Q11" s="129">
        <v>121</v>
      </c>
    </row>
    <row r="12" spans="1:17">
      <c r="A12" s="4">
        <v>11</v>
      </c>
      <c r="B12" s="129">
        <v>1</v>
      </c>
      <c r="C12" s="129">
        <v>3</v>
      </c>
      <c r="D12" s="129">
        <v>-2</v>
      </c>
      <c r="E12" s="130" t="s">
        <v>116</v>
      </c>
      <c r="F12" s="129">
        <v>24</v>
      </c>
      <c r="G12" s="129"/>
      <c r="H12" s="130"/>
      <c r="I12" s="129">
        <v>24</v>
      </c>
      <c r="J12" s="129"/>
      <c r="K12" s="130"/>
      <c r="L12" s="129"/>
      <c r="M12" s="129"/>
      <c r="N12" s="130"/>
      <c r="O12" s="4">
        <v>183</v>
      </c>
      <c r="P12" s="4">
        <v>244</v>
      </c>
      <c r="Q12" s="129"/>
    </row>
    <row r="13" spans="1:17">
      <c r="A13" s="4">
        <v>12</v>
      </c>
      <c r="B13" s="129">
        <v>4</v>
      </c>
      <c r="C13" s="129">
        <v>1</v>
      </c>
      <c r="D13" s="129">
        <v>3</v>
      </c>
      <c r="E13" s="130" t="s">
        <v>1463</v>
      </c>
      <c r="F13" s="129">
        <v>12</v>
      </c>
      <c r="G13" s="129"/>
      <c r="H13" s="130"/>
      <c r="I13" s="129"/>
      <c r="J13" s="129"/>
      <c r="K13" s="130"/>
      <c r="L13" s="129"/>
      <c r="M13" s="129"/>
      <c r="N13" s="130"/>
      <c r="O13" s="4">
        <v>183</v>
      </c>
      <c r="P13" s="4">
        <v>244</v>
      </c>
      <c r="Q13" s="129">
        <v>183</v>
      </c>
    </row>
    <row r="14" spans="1:17">
      <c r="A14" s="4">
        <v>13</v>
      </c>
      <c r="B14" s="129">
        <v>1</v>
      </c>
      <c r="C14" s="129">
        <v>4</v>
      </c>
      <c r="D14" s="129">
        <v>-3</v>
      </c>
      <c r="E14" s="130" t="s">
        <v>1460</v>
      </c>
      <c r="F14" s="129">
        <v>12</v>
      </c>
      <c r="G14" s="129"/>
      <c r="H14" s="130">
        <v>1</v>
      </c>
      <c r="I14" s="129">
        <v>12</v>
      </c>
      <c r="J14" s="129"/>
      <c r="K14" s="130">
        <v>1</v>
      </c>
      <c r="L14" s="129"/>
      <c r="M14" s="129"/>
      <c r="N14" s="130"/>
      <c r="O14" s="4">
        <v>244</v>
      </c>
      <c r="P14" s="4">
        <v>244</v>
      </c>
      <c r="Q14" s="129">
        <v>0</v>
      </c>
    </row>
    <row r="15" spans="1:17">
      <c r="A15" s="4">
        <v>14</v>
      </c>
      <c r="B15" s="129">
        <v>1</v>
      </c>
      <c r="C15" s="129">
        <v>3</v>
      </c>
      <c r="D15" s="129">
        <v>-2</v>
      </c>
      <c r="E15" s="130" t="s">
        <v>1460</v>
      </c>
      <c r="F15" s="129">
        <v>12</v>
      </c>
      <c r="G15" s="129">
        <v>3</v>
      </c>
      <c r="H15" s="130">
        <v>0.5</v>
      </c>
      <c r="I15" s="129">
        <v>12</v>
      </c>
      <c r="J15" s="129">
        <v>6</v>
      </c>
      <c r="K15" s="130">
        <v>1</v>
      </c>
      <c r="L15" s="129">
        <v>24</v>
      </c>
      <c r="M15" s="129">
        <v>12</v>
      </c>
      <c r="N15" s="130">
        <v>1</v>
      </c>
      <c r="O15" s="4">
        <v>61</v>
      </c>
      <c r="P15" s="4">
        <v>61</v>
      </c>
      <c r="Q15" s="129">
        <v>121</v>
      </c>
    </row>
    <row r="16" spans="1:17">
      <c r="A16" s="4">
        <v>16</v>
      </c>
      <c r="B16" s="129">
        <v>2</v>
      </c>
      <c r="C16" s="129">
        <v>3</v>
      </c>
      <c r="D16" s="129">
        <v>-1</v>
      </c>
      <c r="E16" s="130" t="s">
        <v>1464</v>
      </c>
      <c r="F16" s="129">
        <v>24</v>
      </c>
      <c r="G16" s="150"/>
      <c r="H16" s="130">
        <v>12</v>
      </c>
      <c r="I16" s="129">
        <v>48</v>
      </c>
      <c r="J16" s="129">
        <v>24</v>
      </c>
      <c r="K16" s="149"/>
      <c r="L16" s="129">
        <v>96</v>
      </c>
      <c r="M16" s="150"/>
      <c r="N16" s="149"/>
      <c r="O16" s="4">
        <v>0</v>
      </c>
      <c r="P16" s="4">
        <v>366</v>
      </c>
      <c r="Q16" s="129"/>
    </row>
    <row r="17" spans="1:17">
      <c r="A17" s="4">
        <v>17</v>
      </c>
      <c r="B17" s="129">
        <v>1</v>
      </c>
      <c r="C17" s="129">
        <v>4</v>
      </c>
      <c r="D17" s="129">
        <v>-3</v>
      </c>
      <c r="E17" s="130" t="s">
        <v>1462</v>
      </c>
      <c r="F17" s="129">
        <v>12</v>
      </c>
      <c r="G17" s="129">
        <v>1.5</v>
      </c>
      <c r="H17" s="130"/>
      <c r="I17" s="129">
        <v>24</v>
      </c>
      <c r="J17" s="129"/>
      <c r="K17" s="130">
        <v>2</v>
      </c>
      <c r="L17" s="129">
        <v>36</v>
      </c>
      <c r="M17" s="129">
        <v>2</v>
      </c>
      <c r="N17" s="130">
        <v>2</v>
      </c>
      <c r="O17" s="4">
        <v>121</v>
      </c>
      <c r="P17" s="4">
        <v>61</v>
      </c>
      <c r="Q17" s="129">
        <v>61</v>
      </c>
    </row>
    <row r="18" spans="1:17">
      <c r="A18" s="4">
        <v>18</v>
      </c>
      <c r="B18" s="129">
        <v>1</v>
      </c>
      <c r="C18" s="129">
        <v>3</v>
      </c>
      <c r="D18" s="129">
        <v>-2</v>
      </c>
      <c r="E18" s="130" t="s">
        <v>1460</v>
      </c>
      <c r="F18" s="129">
        <v>12</v>
      </c>
      <c r="G18" s="129">
        <v>6</v>
      </c>
      <c r="H18" s="130">
        <v>2</v>
      </c>
      <c r="I18" s="129">
        <v>12</v>
      </c>
      <c r="J18" s="129">
        <v>6</v>
      </c>
      <c r="K18" s="130">
        <v>24</v>
      </c>
      <c r="L18" s="129">
        <v>12</v>
      </c>
      <c r="M18" s="129">
        <v>12</v>
      </c>
      <c r="N18" s="130">
        <v>3</v>
      </c>
      <c r="O18" s="4">
        <v>427</v>
      </c>
      <c r="P18" s="4">
        <v>244</v>
      </c>
      <c r="Q18" s="129">
        <v>121</v>
      </c>
    </row>
    <row r="19" spans="1:17">
      <c r="A19" s="4">
        <v>19</v>
      </c>
      <c r="B19" s="129">
        <v>1</v>
      </c>
      <c r="C19" s="129">
        <v>4</v>
      </c>
      <c r="D19" s="129">
        <v>-3</v>
      </c>
      <c r="E19" s="130" t="s">
        <v>1460</v>
      </c>
      <c r="F19" s="129">
        <v>24</v>
      </c>
      <c r="G19" s="129"/>
      <c r="H19" s="130">
        <v>12</v>
      </c>
      <c r="I19" s="129"/>
      <c r="J19" s="129"/>
      <c r="K19" s="130"/>
      <c r="L19" s="129"/>
      <c r="M19" s="129"/>
      <c r="N19" s="130"/>
      <c r="O19" s="4">
        <v>244</v>
      </c>
      <c r="P19" s="4">
        <v>244</v>
      </c>
      <c r="Q19" s="129"/>
    </row>
    <row r="20" spans="1:17">
      <c r="A20" s="4">
        <v>21</v>
      </c>
      <c r="B20" s="129">
        <v>2</v>
      </c>
      <c r="C20" s="129">
        <v>2</v>
      </c>
      <c r="D20" s="129">
        <v>0</v>
      </c>
      <c r="E20" s="130" t="s">
        <v>1462</v>
      </c>
      <c r="F20" s="129">
        <v>12</v>
      </c>
      <c r="G20" s="129">
        <v>0.25</v>
      </c>
      <c r="H20" s="130"/>
      <c r="I20" s="129">
        <v>12</v>
      </c>
      <c r="J20" s="129">
        <v>1</v>
      </c>
      <c r="K20" s="130"/>
      <c r="L20" s="129">
        <v>24</v>
      </c>
      <c r="M20" s="129">
        <v>12</v>
      </c>
      <c r="N20" s="130">
        <v>6</v>
      </c>
      <c r="O20" s="4">
        <v>244</v>
      </c>
      <c r="P20" s="4">
        <v>244</v>
      </c>
      <c r="Q20" s="129">
        <v>61</v>
      </c>
    </row>
    <row r="21" spans="1:17">
      <c r="A21" s="4">
        <v>22</v>
      </c>
      <c r="B21" s="129">
        <v>2</v>
      </c>
      <c r="C21" s="129">
        <v>3</v>
      </c>
      <c r="D21" s="129">
        <v>-1</v>
      </c>
      <c r="E21" s="130" t="s">
        <v>1460</v>
      </c>
      <c r="F21" s="129">
        <v>12</v>
      </c>
      <c r="G21" s="129">
        <v>6</v>
      </c>
      <c r="H21" s="130">
        <v>0.25</v>
      </c>
      <c r="I21" s="129">
        <v>12</v>
      </c>
      <c r="J21" s="129">
        <v>6</v>
      </c>
      <c r="K21" s="130">
        <v>1</v>
      </c>
      <c r="L21" s="129">
        <v>24</v>
      </c>
      <c r="M21" s="129">
        <v>12</v>
      </c>
      <c r="N21" s="130">
        <v>0.25</v>
      </c>
      <c r="O21" s="4">
        <v>305</v>
      </c>
      <c r="P21" s="4">
        <v>305</v>
      </c>
      <c r="Q21" s="129">
        <v>0</v>
      </c>
    </row>
    <row r="22" spans="1:17">
      <c r="A22" s="4">
        <v>24</v>
      </c>
      <c r="B22" s="129">
        <v>2</v>
      </c>
      <c r="C22" s="129">
        <v>2</v>
      </c>
      <c r="D22" s="129">
        <v>0</v>
      </c>
      <c r="E22" s="130" t="s">
        <v>1462</v>
      </c>
      <c r="F22" s="129">
        <v>12</v>
      </c>
      <c r="G22" s="129"/>
      <c r="H22" s="130">
        <v>3</v>
      </c>
      <c r="I22" s="129"/>
      <c r="J22" s="129"/>
      <c r="K22" s="130"/>
      <c r="L22" s="129"/>
      <c r="M22" s="129"/>
      <c r="N22" s="130"/>
      <c r="O22" s="4"/>
      <c r="P22" s="4"/>
      <c r="Q22" s="129">
        <v>61</v>
      </c>
    </row>
    <row r="23" spans="1:17">
      <c r="A23" s="4">
        <v>25</v>
      </c>
      <c r="B23" s="129">
        <v>0</v>
      </c>
      <c r="C23" s="129">
        <v>2</v>
      </c>
      <c r="D23" s="129">
        <v>-2</v>
      </c>
      <c r="E23" s="130" t="s">
        <v>1463</v>
      </c>
      <c r="F23" s="129">
        <v>15</v>
      </c>
      <c r="G23" s="129">
        <v>6</v>
      </c>
      <c r="H23" s="130">
        <v>12</v>
      </c>
      <c r="I23" s="129"/>
      <c r="J23" s="129"/>
      <c r="K23" s="130"/>
      <c r="L23" s="129"/>
      <c r="M23" s="129"/>
      <c r="N23" s="130"/>
      <c r="O23" s="4">
        <v>0</v>
      </c>
      <c r="P23" s="4">
        <v>0</v>
      </c>
      <c r="Q23" s="129">
        <v>0</v>
      </c>
    </row>
    <row r="24" spans="1:17">
      <c r="A24" s="4">
        <v>26</v>
      </c>
      <c r="B24" s="129">
        <v>0</v>
      </c>
      <c r="C24" s="129">
        <v>1</v>
      </c>
      <c r="D24" s="129">
        <v>-1</v>
      </c>
      <c r="E24" s="130" t="s">
        <v>1463</v>
      </c>
      <c r="F24" s="129">
        <v>24</v>
      </c>
      <c r="G24" s="129">
        <v>3</v>
      </c>
      <c r="H24" s="130"/>
      <c r="I24" s="129"/>
      <c r="J24" s="129">
        <v>3</v>
      </c>
      <c r="K24" s="130"/>
      <c r="L24" s="129"/>
      <c r="M24" s="131"/>
      <c r="N24" s="130"/>
      <c r="O24" s="4">
        <v>851</v>
      </c>
      <c r="P24" s="4">
        <v>0</v>
      </c>
      <c r="Q24" s="129">
        <v>0</v>
      </c>
    </row>
    <row r="25" spans="1:17">
      <c r="A25" s="4">
        <v>27</v>
      </c>
      <c r="B25" s="129">
        <v>0</v>
      </c>
      <c r="C25" s="129">
        <v>0</v>
      </c>
      <c r="D25" s="129">
        <v>0</v>
      </c>
      <c r="E25" s="130" t="s">
        <v>1461</v>
      </c>
      <c r="F25" s="129">
        <v>12</v>
      </c>
      <c r="G25" s="129">
        <v>6</v>
      </c>
      <c r="H25" s="130"/>
      <c r="I25" s="129">
        <v>24</v>
      </c>
      <c r="J25" s="129">
        <v>6</v>
      </c>
      <c r="K25" s="130"/>
      <c r="L25" s="129">
        <v>36</v>
      </c>
      <c r="M25" s="129">
        <v>6</v>
      </c>
      <c r="N25" s="130"/>
      <c r="O25" s="4">
        <v>486</v>
      </c>
      <c r="P25" s="4">
        <v>61</v>
      </c>
      <c r="Q25" s="129">
        <v>183</v>
      </c>
    </row>
    <row r="26" spans="1:17">
      <c r="A26" s="4">
        <v>29</v>
      </c>
      <c r="B26" s="129">
        <v>1</v>
      </c>
      <c r="C26" s="129">
        <v>3</v>
      </c>
      <c r="D26" s="129">
        <v>-2</v>
      </c>
      <c r="E26" s="130" t="s">
        <v>1463</v>
      </c>
      <c r="F26" s="129">
        <v>12</v>
      </c>
      <c r="G26" s="129"/>
      <c r="H26" s="130">
        <v>1</v>
      </c>
      <c r="I26" s="129">
        <v>12</v>
      </c>
      <c r="J26" s="129"/>
      <c r="K26" s="130">
        <v>2</v>
      </c>
      <c r="L26" s="129">
        <v>12</v>
      </c>
      <c r="M26" s="129"/>
      <c r="N26" s="130">
        <v>6</v>
      </c>
      <c r="O26" s="4">
        <v>121</v>
      </c>
      <c r="P26" s="4">
        <v>61</v>
      </c>
      <c r="Q26" s="129"/>
    </row>
    <row r="27" spans="1:17">
      <c r="A27" s="4">
        <v>30</v>
      </c>
      <c r="B27" s="129">
        <v>4</v>
      </c>
      <c r="C27" s="129">
        <v>2</v>
      </c>
      <c r="D27" s="129">
        <v>2</v>
      </c>
      <c r="E27" s="130" t="s">
        <v>1463</v>
      </c>
      <c r="F27" s="129">
        <v>12</v>
      </c>
      <c r="G27" s="129"/>
      <c r="H27" s="130">
        <v>12</v>
      </c>
      <c r="I27" s="129"/>
      <c r="J27" s="129"/>
      <c r="K27" s="130"/>
      <c r="L27" s="129"/>
      <c r="M27" s="129"/>
      <c r="N27" s="130"/>
      <c r="O27" s="4">
        <v>305</v>
      </c>
      <c r="P27" s="4">
        <v>121</v>
      </c>
      <c r="Q27" s="129">
        <v>61</v>
      </c>
    </row>
    <row r="28" spans="1:17">
      <c r="A28" s="4">
        <v>32</v>
      </c>
      <c r="B28" s="129">
        <v>1</v>
      </c>
      <c r="C28" s="129">
        <v>4</v>
      </c>
      <c r="D28" s="129">
        <v>-3</v>
      </c>
      <c r="E28" s="130" t="s">
        <v>1462</v>
      </c>
      <c r="F28" s="129">
        <v>18</v>
      </c>
      <c r="G28" s="129"/>
      <c r="H28" s="130">
        <v>0.5</v>
      </c>
      <c r="I28" s="129"/>
      <c r="J28" s="129"/>
      <c r="K28" s="130"/>
      <c r="L28" s="129"/>
      <c r="M28" s="129"/>
      <c r="N28" s="130"/>
      <c r="O28" s="4">
        <v>121</v>
      </c>
      <c r="P28" s="4">
        <v>121</v>
      </c>
      <c r="Q28" s="129">
        <v>0</v>
      </c>
    </row>
    <row r="29" spans="1:17">
      <c r="A29" s="4">
        <v>33</v>
      </c>
      <c r="B29" s="129">
        <v>2</v>
      </c>
      <c r="C29" s="129">
        <v>4</v>
      </c>
      <c r="D29" s="129">
        <v>-2</v>
      </c>
      <c r="E29" s="130" t="s">
        <v>1462</v>
      </c>
      <c r="F29" s="129">
        <v>12</v>
      </c>
      <c r="G29" s="129">
        <v>6</v>
      </c>
      <c r="H29" s="130">
        <v>1</v>
      </c>
      <c r="I29" s="129">
        <v>18</v>
      </c>
      <c r="J29" s="129">
        <v>12</v>
      </c>
      <c r="K29" s="130">
        <v>3</v>
      </c>
      <c r="L29" s="129">
        <v>24</v>
      </c>
      <c r="M29" s="129">
        <v>12</v>
      </c>
      <c r="N29" s="130">
        <v>3</v>
      </c>
      <c r="O29" s="4">
        <v>61</v>
      </c>
      <c r="P29" s="4">
        <v>61</v>
      </c>
      <c r="Q29" s="129">
        <v>0</v>
      </c>
    </row>
    <row r="30" spans="1:17">
      <c r="A30" s="4">
        <v>34</v>
      </c>
      <c r="B30" s="129">
        <v>2</v>
      </c>
      <c r="C30" s="129">
        <v>2</v>
      </c>
      <c r="D30" s="129">
        <v>0</v>
      </c>
      <c r="E30" s="130" t="s">
        <v>1462</v>
      </c>
      <c r="F30" s="129">
        <v>12</v>
      </c>
      <c r="G30" s="129">
        <v>1</v>
      </c>
      <c r="H30" s="130"/>
      <c r="I30" s="129">
        <v>12</v>
      </c>
      <c r="J30" s="129"/>
      <c r="K30" s="130"/>
      <c r="L30" s="129">
        <v>12</v>
      </c>
      <c r="M30" s="129"/>
      <c r="N30" s="130"/>
      <c r="O30" s="4">
        <v>183</v>
      </c>
      <c r="P30" s="4">
        <v>244</v>
      </c>
      <c r="Q30" s="129"/>
    </row>
    <row r="31" spans="1:17">
      <c r="A31" s="4">
        <v>35</v>
      </c>
      <c r="B31" s="129">
        <v>2</v>
      </c>
      <c r="C31" s="129">
        <v>2</v>
      </c>
      <c r="D31" s="129">
        <v>0</v>
      </c>
      <c r="E31" s="130" t="s">
        <v>1462</v>
      </c>
      <c r="F31" s="129">
        <v>12</v>
      </c>
      <c r="G31" s="129"/>
      <c r="H31" s="130">
        <v>3</v>
      </c>
      <c r="I31" s="129"/>
      <c r="J31" s="129"/>
      <c r="K31" s="130"/>
      <c r="L31" s="129"/>
      <c r="M31" s="129"/>
      <c r="N31" s="130"/>
      <c r="O31" s="4">
        <v>183</v>
      </c>
      <c r="P31" s="4">
        <v>244</v>
      </c>
      <c r="Q31" s="129">
        <v>121</v>
      </c>
    </row>
    <row r="32" spans="1:17">
      <c r="A32" s="4">
        <v>36</v>
      </c>
      <c r="B32" s="129">
        <v>2</v>
      </c>
      <c r="C32" s="129">
        <v>2</v>
      </c>
      <c r="D32" s="129">
        <v>0</v>
      </c>
      <c r="E32" s="130" t="s">
        <v>1460</v>
      </c>
      <c r="F32" s="129">
        <v>12</v>
      </c>
      <c r="G32" s="129"/>
      <c r="H32" s="130"/>
      <c r="I32" s="129"/>
      <c r="J32" s="129"/>
      <c r="K32" s="132"/>
      <c r="L32" s="129"/>
      <c r="M32" s="129"/>
      <c r="N32" s="130"/>
      <c r="O32" s="4">
        <v>244</v>
      </c>
      <c r="P32" s="4">
        <v>244</v>
      </c>
      <c r="Q32" s="129">
        <v>61</v>
      </c>
    </row>
    <row r="33" spans="1:17">
      <c r="A33" s="4">
        <v>38</v>
      </c>
      <c r="B33" s="129">
        <v>1</v>
      </c>
      <c r="C33" s="129">
        <v>1</v>
      </c>
      <c r="D33" s="129">
        <v>0</v>
      </c>
      <c r="E33" s="130" t="s">
        <v>279</v>
      </c>
      <c r="F33" s="129">
        <v>15</v>
      </c>
      <c r="G33" s="129">
        <v>5</v>
      </c>
      <c r="H33" s="130">
        <v>0.5</v>
      </c>
      <c r="I33" s="129">
        <v>8</v>
      </c>
      <c r="J33" s="129">
        <v>5</v>
      </c>
      <c r="K33" s="130">
        <v>1</v>
      </c>
      <c r="L33" s="129">
        <v>24</v>
      </c>
      <c r="M33" s="129">
        <v>12</v>
      </c>
      <c r="N33" s="130">
        <v>6</v>
      </c>
      <c r="O33" s="4">
        <v>305</v>
      </c>
      <c r="P33" s="4">
        <v>244</v>
      </c>
      <c r="Q33" s="129">
        <v>0</v>
      </c>
    </row>
    <row r="34" spans="1:17">
      <c r="A34" s="4">
        <v>40</v>
      </c>
      <c r="B34" s="129">
        <v>1</v>
      </c>
      <c r="C34" s="129">
        <v>3</v>
      </c>
      <c r="D34" s="129">
        <v>-2</v>
      </c>
      <c r="E34" s="130" t="s">
        <v>1461</v>
      </c>
      <c r="F34" s="129">
        <v>12</v>
      </c>
      <c r="G34" s="129"/>
      <c r="H34" s="130"/>
      <c r="I34" s="129">
        <v>20</v>
      </c>
      <c r="J34" s="129"/>
      <c r="K34" s="130"/>
      <c r="L34" s="129">
        <v>36</v>
      </c>
      <c r="M34" s="129"/>
      <c r="N34" s="130"/>
      <c r="O34" s="4">
        <v>244</v>
      </c>
      <c r="P34" s="4">
        <v>244</v>
      </c>
      <c r="Q34" s="129">
        <v>244</v>
      </c>
    </row>
    <row r="35" spans="1:17">
      <c r="A35" s="4">
        <v>41</v>
      </c>
      <c r="B35" s="129">
        <v>1</v>
      </c>
      <c r="C35" s="129">
        <v>3</v>
      </c>
      <c r="D35" s="129">
        <v>-2</v>
      </c>
      <c r="E35" s="130" t="s">
        <v>1461</v>
      </c>
      <c r="F35" s="129">
        <v>12</v>
      </c>
      <c r="G35" s="129">
        <v>6</v>
      </c>
      <c r="H35" s="130">
        <v>0.5</v>
      </c>
      <c r="I35" s="129">
        <v>12</v>
      </c>
      <c r="J35" s="129">
        <v>6</v>
      </c>
      <c r="K35" s="130">
        <v>1</v>
      </c>
      <c r="L35" s="129">
        <v>24</v>
      </c>
      <c r="M35" s="129">
        <v>12</v>
      </c>
      <c r="N35" s="130">
        <v>6</v>
      </c>
      <c r="O35" s="4">
        <v>61</v>
      </c>
      <c r="P35" s="4">
        <v>61</v>
      </c>
      <c r="Q35" s="129">
        <v>61</v>
      </c>
    </row>
    <row r="36" spans="1:17">
      <c r="A36" s="4">
        <v>42</v>
      </c>
      <c r="B36" s="129">
        <v>4</v>
      </c>
      <c r="C36" s="129">
        <v>3</v>
      </c>
      <c r="D36" s="129">
        <v>1</v>
      </c>
      <c r="E36" s="130" t="s">
        <v>1461</v>
      </c>
      <c r="F36" s="129">
        <v>18</v>
      </c>
      <c r="G36" s="129">
        <v>3</v>
      </c>
      <c r="H36" s="130">
        <v>1</v>
      </c>
      <c r="I36" s="129">
        <v>24</v>
      </c>
      <c r="J36" s="129">
        <v>6</v>
      </c>
      <c r="K36" s="130">
        <v>3</v>
      </c>
      <c r="L36" s="129">
        <v>30</v>
      </c>
      <c r="M36" s="129">
        <v>6</v>
      </c>
      <c r="N36" s="130">
        <v>3</v>
      </c>
      <c r="O36" s="4">
        <v>974</v>
      </c>
      <c r="P36" s="4">
        <v>244</v>
      </c>
      <c r="Q36" s="129">
        <v>244</v>
      </c>
    </row>
    <row r="37" spans="1:17">
      <c r="A37" s="4">
        <v>43</v>
      </c>
      <c r="B37" s="129">
        <v>3</v>
      </c>
      <c r="C37" s="129">
        <v>3</v>
      </c>
      <c r="D37" s="129">
        <v>0</v>
      </c>
      <c r="E37" s="130" t="s">
        <v>1461</v>
      </c>
      <c r="F37" s="129">
        <v>24</v>
      </c>
      <c r="G37" s="129">
        <v>3</v>
      </c>
      <c r="H37" s="149"/>
      <c r="I37" s="129">
        <v>24</v>
      </c>
      <c r="J37" s="129">
        <v>5</v>
      </c>
      <c r="K37" s="149"/>
      <c r="L37" s="129">
        <v>24</v>
      </c>
      <c r="M37" s="129">
        <v>7</v>
      </c>
      <c r="N37" s="149"/>
      <c r="O37" s="4">
        <v>0</v>
      </c>
      <c r="P37" s="4">
        <v>244</v>
      </c>
      <c r="Q37" s="129"/>
    </row>
    <row r="38" spans="1:17">
      <c r="A38" s="4">
        <v>45</v>
      </c>
      <c r="B38" s="129">
        <v>1</v>
      </c>
      <c r="C38" s="129">
        <v>3</v>
      </c>
      <c r="D38" s="129">
        <v>-2</v>
      </c>
      <c r="E38" s="130" t="s">
        <v>1461</v>
      </c>
      <c r="F38" s="129">
        <v>12</v>
      </c>
      <c r="G38" s="129">
        <v>3</v>
      </c>
      <c r="H38" s="130"/>
      <c r="I38" s="129">
        <v>24</v>
      </c>
      <c r="J38" s="129">
        <v>6</v>
      </c>
      <c r="K38" s="130"/>
      <c r="L38" s="129">
        <v>36</v>
      </c>
      <c r="M38" s="129">
        <v>12</v>
      </c>
      <c r="N38" s="130"/>
      <c r="O38" s="4">
        <v>366</v>
      </c>
      <c r="P38" s="4">
        <v>244</v>
      </c>
      <c r="Q38" s="129">
        <v>121</v>
      </c>
    </row>
    <row r="39" spans="1:17">
      <c r="A39" s="4">
        <v>46</v>
      </c>
      <c r="B39" s="129">
        <v>1</v>
      </c>
      <c r="C39" s="129">
        <v>0</v>
      </c>
      <c r="D39" s="129">
        <v>1</v>
      </c>
      <c r="E39" s="130" t="s">
        <v>1461</v>
      </c>
      <c r="F39" s="129">
        <v>24</v>
      </c>
      <c r="G39" s="129">
        <v>9</v>
      </c>
      <c r="H39" s="130">
        <v>1</v>
      </c>
      <c r="I39" s="129"/>
      <c r="J39" s="129"/>
      <c r="K39" s="130"/>
      <c r="L39" s="129"/>
      <c r="M39" s="129"/>
      <c r="N39" s="130"/>
      <c r="O39" s="4">
        <v>121</v>
      </c>
      <c r="P39" s="4">
        <v>121</v>
      </c>
      <c r="Q39" s="129">
        <v>121</v>
      </c>
    </row>
    <row r="40" spans="1:17">
      <c r="A40" s="4">
        <v>47</v>
      </c>
      <c r="B40" s="129">
        <v>1</v>
      </c>
      <c r="C40" s="129">
        <v>1</v>
      </c>
      <c r="D40" s="129">
        <v>0</v>
      </c>
      <c r="E40" s="130" t="s">
        <v>1461</v>
      </c>
      <c r="F40" s="129">
        <v>12</v>
      </c>
      <c r="G40" s="129">
        <v>4</v>
      </c>
      <c r="H40" s="130"/>
      <c r="I40" s="129"/>
      <c r="J40" s="129"/>
      <c r="K40" s="130"/>
      <c r="L40" s="129"/>
      <c r="M40" s="129"/>
      <c r="N40" s="130"/>
      <c r="O40" s="4">
        <v>0</v>
      </c>
      <c r="P40" s="4">
        <v>0</v>
      </c>
      <c r="Q40" s="129">
        <v>0</v>
      </c>
    </row>
    <row r="41" spans="1:17">
      <c r="A41" s="4">
        <v>48</v>
      </c>
      <c r="B41" s="129">
        <v>1</v>
      </c>
      <c r="C41" s="129">
        <v>2</v>
      </c>
      <c r="D41" s="129">
        <v>-1</v>
      </c>
      <c r="E41" s="130" t="s">
        <v>1465</v>
      </c>
      <c r="F41" s="129">
        <v>18</v>
      </c>
      <c r="G41" s="129"/>
      <c r="H41" s="130">
        <v>3</v>
      </c>
      <c r="I41" s="129">
        <v>24</v>
      </c>
      <c r="J41" s="129"/>
      <c r="K41" s="130">
        <v>3</v>
      </c>
      <c r="L41" s="129">
        <v>24</v>
      </c>
      <c r="M41" s="129"/>
      <c r="N41" s="130"/>
      <c r="O41" s="4">
        <v>183</v>
      </c>
      <c r="P41" s="4">
        <v>183</v>
      </c>
      <c r="Q41" s="129">
        <v>244</v>
      </c>
    </row>
    <row r="42" spans="1:17">
      <c r="A42" s="4">
        <v>49</v>
      </c>
      <c r="B42" s="129">
        <v>1</v>
      </c>
      <c r="C42" s="129">
        <v>1</v>
      </c>
      <c r="D42" s="129">
        <v>0</v>
      </c>
      <c r="E42" s="130" t="s">
        <v>1465</v>
      </c>
      <c r="F42" s="129">
        <v>36</v>
      </c>
      <c r="G42" s="129"/>
      <c r="H42" s="130">
        <v>3</v>
      </c>
      <c r="I42" s="129"/>
      <c r="J42" s="129"/>
      <c r="K42" s="130"/>
      <c r="L42" s="129"/>
      <c r="M42" s="129"/>
      <c r="N42" s="130"/>
      <c r="O42" s="4">
        <v>1216</v>
      </c>
      <c r="P42" s="4">
        <v>1216</v>
      </c>
      <c r="Q42" s="129">
        <v>61</v>
      </c>
    </row>
    <row r="43" spans="1:17">
      <c r="A43" s="4">
        <v>50</v>
      </c>
      <c r="B43" s="129">
        <v>2</v>
      </c>
      <c r="C43" s="129">
        <v>2</v>
      </c>
      <c r="D43" s="129">
        <v>0</v>
      </c>
      <c r="E43" s="130" t="s">
        <v>1461</v>
      </c>
      <c r="F43" s="129">
        <v>12</v>
      </c>
      <c r="G43" s="129"/>
      <c r="H43" s="130">
        <v>2</v>
      </c>
      <c r="I43" s="129">
        <v>18</v>
      </c>
      <c r="J43" s="129">
        <v>12</v>
      </c>
      <c r="K43" s="130">
        <v>2</v>
      </c>
      <c r="L43" s="129">
        <v>24</v>
      </c>
      <c r="M43" s="129"/>
      <c r="N43" s="130"/>
      <c r="O43" s="4">
        <v>486</v>
      </c>
      <c r="P43" s="4">
        <v>244</v>
      </c>
      <c r="Q43" s="129">
        <v>121</v>
      </c>
    </row>
    <row r="44" spans="1:17">
      <c r="A44" s="4">
        <v>51</v>
      </c>
      <c r="B44" s="129">
        <v>1</v>
      </c>
      <c r="C44" s="129">
        <v>1</v>
      </c>
      <c r="D44" s="129">
        <v>0</v>
      </c>
      <c r="E44" s="130" t="s">
        <v>1461</v>
      </c>
      <c r="F44" s="129">
        <v>12</v>
      </c>
      <c r="G44" s="129">
        <v>6</v>
      </c>
      <c r="H44" s="130"/>
      <c r="I44" s="129"/>
      <c r="J44" s="129"/>
      <c r="K44" s="130"/>
      <c r="L44" s="129"/>
      <c r="M44" s="129"/>
      <c r="N44" s="130"/>
      <c r="O44" s="4">
        <v>183</v>
      </c>
      <c r="P44" s="4">
        <v>61</v>
      </c>
      <c r="Q44" s="129">
        <v>61</v>
      </c>
    </row>
    <row r="45" spans="1:17">
      <c r="A45" s="4">
        <v>52</v>
      </c>
      <c r="B45" s="129"/>
      <c r="C45" s="129">
        <v>3</v>
      </c>
      <c r="D45" s="129">
        <v>-3</v>
      </c>
      <c r="E45" s="130" t="s">
        <v>1461</v>
      </c>
      <c r="F45" s="129">
        <v>24</v>
      </c>
      <c r="G45" s="129">
        <v>1</v>
      </c>
      <c r="H45" s="130"/>
      <c r="I45" s="129">
        <v>30</v>
      </c>
      <c r="J45" s="129">
        <v>2.5</v>
      </c>
      <c r="K45" s="130"/>
      <c r="L45" s="129">
        <v>30</v>
      </c>
      <c r="M45" s="129">
        <v>4</v>
      </c>
      <c r="N45" s="130"/>
      <c r="O45" s="4"/>
      <c r="P45" s="4"/>
      <c r="Q45" s="129"/>
    </row>
    <row r="46" spans="1:17">
      <c r="A46" s="4">
        <v>53</v>
      </c>
      <c r="B46" s="129">
        <v>1</v>
      </c>
      <c r="C46" s="129">
        <v>2</v>
      </c>
      <c r="D46" s="129">
        <v>-1</v>
      </c>
      <c r="E46" s="130" t="s">
        <v>1461</v>
      </c>
      <c r="F46" s="129">
        <v>12</v>
      </c>
      <c r="G46" s="129">
        <v>4</v>
      </c>
      <c r="H46" s="130">
        <v>2</v>
      </c>
      <c r="I46" s="129">
        <v>18</v>
      </c>
      <c r="J46" s="129">
        <v>6</v>
      </c>
      <c r="K46" s="130">
        <v>3</v>
      </c>
      <c r="L46" s="129">
        <v>24</v>
      </c>
      <c r="M46" s="129">
        <v>12</v>
      </c>
      <c r="N46" s="130">
        <v>6</v>
      </c>
      <c r="O46" s="4">
        <v>61</v>
      </c>
      <c r="P46" s="4">
        <v>61</v>
      </c>
      <c r="Q46" s="129">
        <v>486</v>
      </c>
    </row>
    <row r="47" spans="1:17">
      <c r="A47" s="4">
        <v>55</v>
      </c>
      <c r="B47" s="129">
        <v>0</v>
      </c>
      <c r="C47" s="129">
        <v>0</v>
      </c>
      <c r="D47" s="129">
        <v>0</v>
      </c>
      <c r="E47" s="130" t="s">
        <v>1461</v>
      </c>
      <c r="F47" s="129">
        <v>60</v>
      </c>
      <c r="G47" s="129">
        <v>60</v>
      </c>
      <c r="H47" s="130">
        <v>6</v>
      </c>
      <c r="I47" s="129"/>
      <c r="J47" s="129"/>
      <c r="K47" s="130"/>
      <c r="L47" s="129"/>
      <c r="M47" s="129"/>
      <c r="N47" s="130"/>
      <c r="O47" s="4">
        <v>61</v>
      </c>
      <c r="P47" s="4">
        <v>61</v>
      </c>
      <c r="Q47" s="129">
        <v>61</v>
      </c>
    </row>
    <row r="48" spans="1:17">
      <c r="A48" s="4">
        <v>56</v>
      </c>
      <c r="B48" s="129">
        <v>2</v>
      </c>
      <c r="C48" s="129">
        <v>2</v>
      </c>
      <c r="D48" s="129">
        <v>0</v>
      </c>
      <c r="E48" s="130" t="s">
        <v>1461</v>
      </c>
      <c r="F48" s="129">
        <v>12</v>
      </c>
      <c r="G48" s="129"/>
      <c r="H48" s="130"/>
      <c r="I48" s="129">
        <v>12</v>
      </c>
      <c r="J48" s="129"/>
      <c r="K48" s="130"/>
      <c r="L48" s="129"/>
      <c r="M48" s="129"/>
      <c r="N48" s="130"/>
      <c r="O48" s="4">
        <v>183</v>
      </c>
      <c r="P48" s="4">
        <v>183</v>
      </c>
      <c r="Q48" s="129">
        <v>183</v>
      </c>
    </row>
    <row r="49" spans="1:17">
      <c r="A49" s="4">
        <v>57</v>
      </c>
      <c r="B49" s="129">
        <v>2</v>
      </c>
      <c r="C49" s="129">
        <v>2</v>
      </c>
      <c r="D49" s="129">
        <v>0</v>
      </c>
      <c r="E49" s="130" t="s">
        <v>1465</v>
      </c>
      <c r="F49" s="129">
        <v>12</v>
      </c>
      <c r="G49" s="129">
        <v>2</v>
      </c>
      <c r="H49" s="130">
        <v>1</v>
      </c>
      <c r="I49" s="129">
        <v>12</v>
      </c>
      <c r="J49" s="129">
        <v>3</v>
      </c>
      <c r="K49" s="130"/>
      <c r="L49" s="129">
        <v>12</v>
      </c>
      <c r="M49" s="129">
        <v>6</v>
      </c>
      <c r="N49" s="149"/>
      <c r="O49" s="4"/>
      <c r="P49" s="4">
        <v>366</v>
      </c>
      <c r="Q49" s="129">
        <v>366</v>
      </c>
    </row>
    <row r="50" spans="1:17">
      <c r="A50" s="4">
        <v>58</v>
      </c>
      <c r="B50" s="129">
        <v>1</v>
      </c>
      <c r="C50" s="129">
        <v>3</v>
      </c>
      <c r="D50" s="129">
        <v>-2</v>
      </c>
      <c r="E50" s="130" t="s">
        <v>1461</v>
      </c>
      <c r="F50" s="129">
        <v>24</v>
      </c>
      <c r="G50" s="129">
        <v>4</v>
      </c>
      <c r="H50" s="130">
        <v>4</v>
      </c>
      <c r="I50" s="129"/>
      <c r="J50" s="129"/>
      <c r="K50" s="130"/>
      <c r="L50" s="129"/>
      <c r="M50" s="129"/>
      <c r="N50" s="130"/>
      <c r="O50" s="4">
        <v>244</v>
      </c>
      <c r="P50" s="4">
        <v>121</v>
      </c>
      <c r="Q50" s="129">
        <v>121</v>
      </c>
    </row>
    <row r="51" spans="1:17">
      <c r="A51" s="4">
        <v>59</v>
      </c>
      <c r="B51" s="129">
        <v>1</v>
      </c>
      <c r="C51" s="129">
        <v>3</v>
      </c>
      <c r="D51" s="129">
        <v>-2</v>
      </c>
      <c r="E51" s="130" t="s">
        <v>1465</v>
      </c>
      <c r="F51" s="129">
        <v>12</v>
      </c>
      <c r="G51" s="129">
        <v>12</v>
      </c>
      <c r="H51" s="130"/>
      <c r="I51" s="129"/>
      <c r="J51" s="129"/>
      <c r="K51" s="130"/>
      <c r="L51" s="129"/>
      <c r="M51" s="129"/>
      <c r="N51" s="130"/>
      <c r="O51" s="4">
        <v>121</v>
      </c>
      <c r="P51" s="4">
        <v>121</v>
      </c>
      <c r="Q51" s="129">
        <v>121</v>
      </c>
    </row>
    <row r="52" spans="1:17">
      <c r="A52" s="4">
        <v>60</v>
      </c>
      <c r="B52" s="129">
        <v>1</v>
      </c>
      <c r="C52" s="129">
        <v>1</v>
      </c>
      <c r="D52" s="129">
        <v>0</v>
      </c>
      <c r="E52" s="130" t="s">
        <v>1466</v>
      </c>
      <c r="F52" s="129">
        <v>15</v>
      </c>
      <c r="G52" s="129">
        <v>12</v>
      </c>
      <c r="H52" s="130"/>
      <c r="I52" s="129"/>
      <c r="J52" s="129"/>
      <c r="K52" s="130"/>
      <c r="L52" s="129"/>
      <c r="M52" s="129"/>
      <c r="N52" s="130"/>
      <c r="O52" s="4">
        <v>609</v>
      </c>
      <c r="P52" s="4">
        <v>183</v>
      </c>
      <c r="Q52" s="129">
        <v>61</v>
      </c>
    </row>
    <row r="53" spans="1:17">
      <c r="A53" s="4">
        <v>61</v>
      </c>
      <c r="B53" s="129">
        <v>1</v>
      </c>
      <c r="C53" s="129">
        <v>1</v>
      </c>
      <c r="D53" s="129">
        <v>0</v>
      </c>
      <c r="E53" s="130" t="s">
        <v>1461</v>
      </c>
      <c r="F53" s="129">
        <v>40</v>
      </c>
      <c r="G53" s="129"/>
      <c r="H53" s="130"/>
      <c r="I53" s="129"/>
      <c r="J53" s="129"/>
      <c r="K53" s="130"/>
      <c r="L53" s="129"/>
      <c r="M53" s="129"/>
      <c r="N53" s="130"/>
      <c r="O53" s="4">
        <v>1035</v>
      </c>
      <c r="P53" s="4">
        <v>183</v>
      </c>
      <c r="Q53" s="129">
        <v>183</v>
      </c>
    </row>
    <row r="54" spans="1:17">
      <c r="A54" s="4">
        <v>62</v>
      </c>
      <c r="B54" s="129">
        <v>1</v>
      </c>
      <c r="C54" s="129">
        <v>1</v>
      </c>
      <c r="D54" s="129">
        <v>0</v>
      </c>
      <c r="E54" s="130" t="s">
        <v>1461</v>
      </c>
      <c r="F54" s="129">
        <v>2</v>
      </c>
      <c r="G54" s="129"/>
      <c r="H54" s="130"/>
      <c r="I54" s="129">
        <v>6</v>
      </c>
      <c r="J54" s="129"/>
      <c r="K54" s="130"/>
      <c r="L54" s="129">
        <v>12</v>
      </c>
      <c r="M54" s="129"/>
      <c r="N54" s="130"/>
      <c r="O54" s="4">
        <v>486</v>
      </c>
      <c r="P54" s="4">
        <v>61</v>
      </c>
      <c r="Q54" s="129">
        <v>61</v>
      </c>
    </row>
    <row r="55" spans="1:17">
      <c r="A55" s="4">
        <v>65</v>
      </c>
      <c r="B55" s="129">
        <v>1</v>
      </c>
      <c r="C55" s="129">
        <v>1</v>
      </c>
      <c r="D55" s="129">
        <v>0</v>
      </c>
      <c r="E55" s="130" t="s">
        <v>1465</v>
      </c>
      <c r="F55" s="129">
        <v>12</v>
      </c>
      <c r="G55" s="129"/>
      <c r="H55" s="130"/>
      <c r="I55" s="129"/>
      <c r="J55" s="129"/>
      <c r="K55" s="130"/>
      <c r="L55" s="129"/>
      <c r="M55" s="129"/>
      <c r="N55" s="130"/>
      <c r="O55" s="4"/>
      <c r="P55" s="4">
        <v>121</v>
      </c>
      <c r="Q55" s="129">
        <v>121</v>
      </c>
    </row>
    <row r="56" spans="1:17">
      <c r="A56" s="4">
        <v>66</v>
      </c>
      <c r="B56" s="129">
        <v>1</v>
      </c>
      <c r="C56" s="129">
        <v>1</v>
      </c>
      <c r="D56" s="129">
        <v>0</v>
      </c>
      <c r="E56" s="130" t="s">
        <v>1461</v>
      </c>
      <c r="F56" s="129">
        <v>12</v>
      </c>
      <c r="G56" s="129">
        <v>6</v>
      </c>
      <c r="H56" s="130">
        <v>2</v>
      </c>
      <c r="I56" s="129">
        <v>24</v>
      </c>
      <c r="J56" s="129">
        <v>6</v>
      </c>
      <c r="K56" s="130">
        <v>2</v>
      </c>
      <c r="L56" s="129">
        <v>24</v>
      </c>
      <c r="M56" s="129">
        <v>12</v>
      </c>
      <c r="N56" s="130"/>
      <c r="O56" s="4">
        <v>183</v>
      </c>
      <c r="P56" s="4">
        <v>183</v>
      </c>
      <c r="Q56" s="129">
        <v>183</v>
      </c>
    </row>
    <row r="57" spans="1:17">
      <c r="A57" s="4">
        <v>68</v>
      </c>
      <c r="B57" s="129">
        <v>3</v>
      </c>
      <c r="C57" s="129">
        <v>3</v>
      </c>
      <c r="D57" s="129">
        <v>0</v>
      </c>
      <c r="E57" s="130" t="s">
        <v>1461</v>
      </c>
      <c r="F57" s="129">
        <v>12</v>
      </c>
      <c r="G57" s="129">
        <v>12</v>
      </c>
      <c r="H57" s="130">
        <v>12</v>
      </c>
      <c r="I57" s="129">
        <v>36</v>
      </c>
      <c r="J57" s="129">
        <v>12</v>
      </c>
      <c r="K57" s="130">
        <v>12</v>
      </c>
      <c r="L57" s="129">
        <v>36</v>
      </c>
      <c r="M57" s="129">
        <v>12</v>
      </c>
      <c r="N57" s="130">
        <v>12</v>
      </c>
      <c r="O57" s="4">
        <v>974</v>
      </c>
      <c r="P57" s="4">
        <v>244</v>
      </c>
      <c r="Q57" s="129">
        <v>974</v>
      </c>
    </row>
    <row r="58" spans="1:17">
      <c r="A58" s="4">
        <v>69</v>
      </c>
      <c r="B58" s="129">
        <v>1</v>
      </c>
      <c r="C58" s="129">
        <v>1</v>
      </c>
      <c r="D58" s="129">
        <v>0</v>
      </c>
      <c r="E58" s="130" t="s">
        <v>1461</v>
      </c>
      <c r="F58" s="129">
        <v>18</v>
      </c>
      <c r="G58" s="129">
        <v>12</v>
      </c>
      <c r="H58" s="130">
        <v>6</v>
      </c>
      <c r="I58" s="129">
        <v>24</v>
      </c>
      <c r="J58" s="129">
        <v>12</v>
      </c>
      <c r="K58" s="130">
        <v>12</v>
      </c>
      <c r="L58" s="129">
        <v>36</v>
      </c>
      <c r="M58" s="129"/>
      <c r="N58" s="130"/>
      <c r="O58" s="4">
        <v>609</v>
      </c>
      <c r="P58" s="4">
        <v>609</v>
      </c>
      <c r="Q58" s="129">
        <v>183</v>
      </c>
    </row>
    <row r="59" spans="1:17">
      <c r="A59" s="4">
        <v>70</v>
      </c>
      <c r="B59" s="129">
        <v>1</v>
      </c>
      <c r="C59" s="129">
        <v>2</v>
      </c>
      <c r="D59" s="129">
        <v>-1</v>
      </c>
      <c r="E59" s="130" t="s">
        <v>1466</v>
      </c>
      <c r="F59" s="129">
        <v>12</v>
      </c>
      <c r="G59" s="129">
        <v>6</v>
      </c>
      <c r="H59" s="130">
        <v>3</v>
      </c>
      <c r="I59" s="129">
        <v>24</v>
      </c>
      <c r="J59" s="129">
        <v>6</v>
      </c>
      <c r="K59" s="130">
        <v>2</v>
      </c>
      <c r="L59" s="129"/>
      <c r="M59" s="129"/>
      <c r="N59" s="130"/>
      <c r="O59" s="4">
        <v>244</v>
      </c>
      <c r="P59" s="4">
        <v>61</v>
      </c>
      <c r="Q59" s="129">
        <v>61</v>
      </c>
    </row>
    <row r="60" spans="1:17">
      <c r="A60" s="4">
        <v>71</v>
      </c>
      <c r="B60" s="129">
        <v>4</v>
      </c>
      <c r="C60" s="129">
        <v>4</v>
      </c>
      <c r="D60" s="129">
        <v>0</v>
      </c>
      <c r="E60" s="130" t="s">
        <v>1466</v>
      </c>
      <c r="F60" s="129">
        <v>6</v>
      </c>
      <c r="G60" s="129">
        <v>3</v>
      </c>
      <c r="H60" s="130">
        <v>3</v>
      </c>
      <c r="I60" s="129">
        <v>12</v>
      </c>
      <c r="J60" s="129">
        <v>6</v>
      </c>
      <c r="K60" s="130">
        <v>6</v>
      </c>
      <c r="L60" s="129">
        <v>12</v>
      </c>
      <c r="M60" s="129"/>
      <c r="N60" s="130"/>
      <c r="O60" s="4">
        <v>244</v>
      </c>
      <c r="P60" s="4">
        <v>609</v>
      </c>
      <c r="Q60" s="129">
        <v>121</v>
      </c>
    </row>
    <row r="61" spans="1:17">
      <c r="A61" s="4">
        <v>73</v>
      </c>
      <c r="B61" s="129">
        <v>1</v>
      </c>
      <c r="C61" s="129">
        <v>3</v>
      </c>
      <c r="D61" s="129">
        <v>-2</v>
      </c>
      <c r="E61" s="130" t="s">
        <v>1465</v>
      </c>
      <c r="F61" s="129">
        <v>36</v>
      </c>
      <c r="G61" s="129">
        <v>12</v>
      </c>
      <c r="H61" s="130">
        <v>3</v>
      </c>
      <c r="I61" s="129"/>
      <c r="J61" s="129"/>
      <c r="K61" s="130"/>
      <c r="L61" s="129"/>
      <c r="M61" s="129"/>
      <c r="N61" s="130"/>
      <c r="O61" s="4">
        <v>670</v>
      </c>
      <c r="P61" s="4">
        <v>670</v>
      </c>
      <c r="Q61" s="129">
        <v>670</v>
      </c>
    </row>
    <row r="62" spans="1:17">
      <c r="A62" s="4">
        <v>76</v>
      </c>
      <c r="B62" s="129">
        <v>2</v>
      </c>
      <c r="C62" s="129">
        <v>3</v>
      </c>
      <c r="D62" s="129">
        <v>-1</v>
      </c>
      <c r="E62" s="130" t="s">
        <v>116</v>
      </c>
      <c r="F62" s="129">
        <v>3</v>
      </c>
      <c r="G62" s="129">
        <v>4</v>
      </c>
      <c r="H62" s="130">
        <v>2</v>
      </c>
      <c r="I62" s="129">
        <v>24</v>
      </c>
      <c r="J62" s="129">
        <v>24</v>
      </c>
      <c r="K62" s="130">
        <v>4</v>
      </c>
      <c r="L62" s="129">
        <v>36</v>
      </c>
      <c r="M62" s="129">
        <v>36</v>
      </c>
      <c r="N62" s="130">
        <v>24</v>
      </c>
      <c r="O62" s="4">
        <v>183</v>
      </c>
      <c r="P62" s="4">
        <v>183</v>
      </c>
      <c r="Q62" s="129">
        <v>61</v>
      </c>
    </row>
    <row r="63" spans="1:17">
      <c r="A63" s="4">
        <v>77</v>
      </c>
      <c r="B63" s="129">
        <v>1</v>
      </c>
      <c r="C63" s="129">
        <v>4</v>
      </c>
      <c r="D63" s="129">
        <v>-3</v>
      </c>
      <c r="E63" s="130" t="s">
        <v>1465</v>
      </c>
      <c r="F63" s="129">
        <v>36</v>
      </c>
      <c r="G63" s="129">
        <v>12</v>
      </c>
      <c r="H63" s="130"/>
      <c r="I63" s="129"/>
      <c r="J63" s="129"/>
      <c r="K63" s="130"/>
      <c r="L63" s="129"/>
      <c r="M63" s="129"/>
      <c r="N63" s="130"/>
      <c r="O63" s="4">
        <v>609</v>
      </c>
      <c r="P63" s="4">
        <v>61</v>
      </c>
      <c r="Q63" s="129">
        <v>61</v>
      </c>
    </row>
    <row r="64" spans="1:17">
      <c r="A64" s="4">
        <v>78</v>
      </c>
      <c r="B64" s="129">
        <v>1</v>
      </c>
      <c r="C64" s="129">
        <v>3</v>
      </c>
      <c r="D64" s="129">
        <v>-2</v>
      </c>
      <c r="E64" s="130" t="s">
        <v>1465</v>
      </c>
      <c r="F64" s="129">
        <v>24</v>
      </c>
      <c r="G64" s="129"/>
      <c r="H64" s="130">
        <v>9</v>
      </c>
      <c r="I64" s="129"/>
      <c r="J64" s="129"/>
      <c r="K64" s="130"/>
      <c r="L64" s="129"/>
      <c r="M64" s="129"/>
      <c r="N64" s="130"/>
      <c r="O64" s="4">
        <v>183</v>
      </c>
      <c r="P64" s="4">
        <v>183</v>
      </c>
      <c r="Q64" s="129">
        <v>121</v>
      </c>
    </row>
    <row r="65" spans="1:17">
      <c r="A65" s="4">
        <v>79</v>
      </c>
      <c r="B65" s="129">
        <v>2</v>
      </c>
      <c r="C65" s="129">
        <v>2</v>
      </c>
      <c r="D65" s="129">
        <v>0</v>
      </c>
      <c r="E65" s="130" t="s">
        <v>1462</v>
      </c>
      <c r="F65" s="129">
        <v>12</v>
      </c>
      <c r="G65" s="129">
        <v>12</v>
      </c>
      <c r="H65" s="130">
        <v>12</v>
      </c>
      <c r="I65" s="129">
        <v>18</v>
      </c>
      <c r="J65" s="129">
        <v>18</v>
      </c>
      <c r="K65" s="130">
        <v>18</v>
      </c>
      <c r="L65" s="129">
        <v>30</v>
      </c>
      <c r="M65" s="129">
        <v>30</v>
      </c>
      <c r="N65" s="130">
        <v>30</v>
      </c>
      <c r="O65" s="4">
        <v>244</v>
      </c>
      <c r="P65" s="4">
        <v>244</v>
      </c>
      <c r="Q65" s="129">
        <v>244</v>
      </c>
    </row>
    <row r="66" spans="1:17">
      <c r="A66" s="4">
        <v>80</v>
      </c>
      <c r="B66" s="129">
        <v>0</v>
      </c>
      <c r="C66" s="129">
        <v>2</v>
      </c>
      <c r="D66" s="129">
        <v>-2</v>
      </c>
      <c r="E66" s="130" t="s">
        <v>1465</v>
      </c>
      <c r="F66" s="129">
        <v>12</v>
      </c>
      <c r="G66" s="129">
        <v>12</v>
      </c>
      <c r="H66" s="130"/>
      <c r="I66" s="129">
        <v>12</v>
      </c>
      <c r="J66" s="129"/>
      <c r="K66" s="130"/>
      <c r="L66" s="129"/>
      <c r="M66" s="129"/>
      <c r="N66" s="130"/>
      <c r="O66" s="4">
        <v>183</v>
      </c>
      <c r="P66" s="4">
        <v>183</v>
      </c>
      <c r="Q66" s="129">
        <v>183</v>
      </c>
    </row>
    <row r="67" spans="1:17">
      <c r="A67" s="4">
        <v>82</v>
      </c>
      <c r="B67" s="129">
        <v>0</v>
      </c>
      <c r="C67" s="129">
        <v>2</v>
      </c>
      <c r="D67" s="129">
        <v>-2</v>
      </c>
      <c r="E67" s="130" t="s">
        <v>1461</v>
      </c>
      <c r="F67" s="129">
        <v>36</v>
      </c>
      <c r="G67" s="129"/>
      <c r="H67" s="130">
        <v>1.5</v>
      </c>
      <c r="I67" s="129"/>
      <c r="J67" s="129"/>
      <c r="K67" s="130"/>
      <c r="L67" s="129"/>
      <c r="M67" s="129"/>
      <c r="N67" s="130"/>
      <c r="O67" s="4">
        <v>609</v>
      </c>
      <c r="P67" s="4">
        <v>121</v>
      </c>
      <c r="Q67" s="129">
        <v>244</v>
      </c>
    </row>
    <row r="68" spans="1:17">
      <c r="A68" s="4">
        <v>83</v>
      </c>
      <c r="B68" s="129"/>
      <c r="C68" s="129">
        <v>2</v>
      </c>
      <c r="D68" s="129">
        <v>-2</v>
      </c>
      <c r="E68" s="130" t="s">
        <v>1461</v>
      </c>
      <c r="F68" s="129">
        <v>48</v>
      </c>
      <c r="G68" s="129">
        <v>18</v>
      </c>
      <c r="H68" s="130">
        <v>12</v>
      </c>
      <c r="I68" s="129">
        <v>36</v>
      </c>
      <c r="J68" s="129">
        <v>24</v>
      </c>
      <c r="K68" s="130">
        <v>18</v>
      </c>
      <c r="L68" s="129">
        <v>60</v>
      </c>
      <c r="M68" s="129">
        <v>24</v>
      </c>
      <c r="N68" s="130">
        <v>12</v>
      </c>
      <c r="O68" s="4">
        <v>851</v>
      </c>
      <c r="P68" s="4">
        <v>121</v>
      </c>
      <c r="Q68" s="129">
        <v>121</v>
      </c>
    </row>
    <row r="69" spans="1:17">
      <c r="A69" s="4">
        <v>84</v>
      </c>
      <c r="B69" s="129">
        <v>1</v>
      </c>
      <c r="C69" s="129">
        <v>3</v>
      </c>
      <c r="D69" s="129">
        <v>-2</v>
      </c>
      <c r="E69" s="130" t="s">
        <v>116</v>
      </c>
      <c r="F69" s="129">
        <v>15</v>
      </c>
      <c r="G69" s="129">
        <v>15</v>
      </c>
      <c r="H69" s="130">
        <v>1</v>
      </c>
      <c r="I69" s="129"/>
      <c r="J69" s="129"/>
      <c r="K69" s="130"/>
      <c r="L69" s="129"/>
      <c r="M69" s="129"/>
      <c r="N69" s="130"/>
      <c r="O69" s="4">
        <v>244</v>
      </c>
      <c r="P69" s="4">
        <v>244</v>
      </c>
      <c r="Q69" s="129">
        <v>61</v>
      </c>
    </row>
    <row r="70" spans="1:17">
      <c r="A70" s="4">
        <v>85</v>
      </c>
      <c r="B70" s="129">
        <v>2</v>
      </c>
      <c r="C70" s="129">
        <v>2</v>
      </c>
      <c r="D70" s="129">
        <v>0</v>
      </c>
      <c r="E70" s="130" t="s">
        <v>1461</v>
      </c>
      <c r="F70" s="129">
        <v>12</v>
      </c>
      <c r="G70" s="129">
        <v>4</v>
      </c>
      <c r="H70" s="130">
        <v>4</v>
      </c>
      <c r="I70" s="129">
        <v>24</v>
      </c>
      <c r="J70" s="129">
        <v>6</v>
      </c>
      <c r="K70" s="130">
        <v>6</v>
      </c>
      <c r="L70" s="129"/>
      <c r="M70" s="129"/>
      <c r="N70" s="130"/>
      <c r="O70" s="4">
        <v>305</v>
      </c>
      <c r="P70" s="4">
        <v>61</v>
      </c>
      <c r="Q70" s="129">
        <v>121</v>
      </c>
    </row>
    <row r="71" spans="1:17">
      <c r="A71" s="4">
        <v>87</v>
      </c>
      <c r="B71" s="129">
        <v>1</v>
      </c>
      <c r="C71" s="129">
        <v>3</v>
      </c>
      <c r="D71" s="129">
        <v>-2</v>
      </c>
      <c r="E71" s="130" t="s">
        <v>1461</v>
      </c>
      <c r="F71" s="129">
        <v>12</v>
      </c>
      <c r="G71" s="129">
        <v>1</v>
      </c>
      <c r="H71" s="130">
        <v>1</v>
      </c>
      <c r="I71" s="129">
        <v>12</v>
      </c>
      <c r="J71" s="129">
        <v>3</v>
      </c>
      <c r="K71" s="130">
        <v>12</v>
      </c>
      <c r="L71" s="129">
        <v>12</v>
      </c>
      <c r="M71" s="129">
        <v>6</v>
      </c>
      <c r="N71" s="130"/>
      <c r="O71" s="4">
        <v>61</v>
      </c>
      <c r="P71" s="4">
        <v>61</v>
      </c>
      <c r="Q71" s="129">
        <v>121</v>
      </c>
    </row>
    <row r="72" spans="1:17">
      <c r="A72" s="4">
        <v>88</v>
      </c>
      <c r="B72" s="129">
        <v>0</v>
      </c>
      <c r="C72" s="129">
        <v>2</v>
      </c>
      <c r="D72" s="129">
        <v>-2</v>
      </c>
      <c r="E72" s="130" t="s">
        <v>1461</v>
      </c>
      <c r="F72" s="129">
        <v>36</v>
      </c>
      <c r="G72" s="129">
        <v>12</v>
      </c>
      <c r="H72" s="130">
        <v>2</v>
      </c>
      <c r="I72" s="129">
        <v>36</v>
      </c>
      <c r="J72" s="129">
        <v>36</v>
      </c>
      <c r="K72" s="130">
        <v>2</v>
      </c>
      <c r="L72" s="129"/>
      <c r="M72" s="129"/>
      <c r="N72" s="130"/>
      <c r="O72" s="4">
        <v>0</v>
      </c>
      <c r="P72" s="4">
        <v>0</v>
      </c>
      <c r="Q72" s="129">
        <v>0</v>
      </c>
    </row>
    <row r="73" spans="1:17">
      <c r="A73" s="4">
        <v>90</v>
      </c>
      <c r="B73" s="129">
        <v>1</v>
      </c>
      <c r="C73" s="129">
        <v>2</v>
      </c>
      <c r="D73" s="129">
        <v>-1</v>
      </c>
      <c r="E73" s="130" t="s">
        <v>1465</v>
      </c>
      <c r="F73" s="129">
        <v>24</v>
      </c>
      <c r="G73" s="129">
        <v>12</v>
      </c>
      <c r="H73" s="130">
        <v>1</v>
      </c>
      <c r="I73" s="129"/>
      <c r="J73" s="129"/>
      <c r="K73" s="130"/>
      <c r="L73" s="129"/>
      <c r="M73" s="129"/>
      <c r="N73" s="130"/>
      <c r="O73" s="4">
        <v>183</v>
      </c>
      <c r="P73" s="4">
        <v>183</v>
      </c>
      <c r="Q73" s="129">
        <v>61</v>
      </c>
    </row>
    <row r="74" spans="1:17">
      <c r="A74" s="4">
        <v>92</v>
      </c>
      <c r="B74" s="129">
        <v>3</v>
      </c>
      <c r="C74" s="129">
        <v>4</v>
      </c>
      <c r="D74" s="129">
        <v>-1</v>
      </c>
      <c r="E74" s="130" t="s">
        <v>1465</v>
      </c>
      <c r="F74" s="129">
        <v>24</v>
      </c>
      <c r="G74" s="129">
        <v>12</v>
      </c>
      <c r="H74" s="130">
        <v>6</v>
      </c>
      <c r="I74" s="129">
        <v>24</v>
      </c>
      <c r="J74" s="129"/>
      <c r="K74" s="130"/>
      <c r="L74" s="129">
        <v>24</v>
      </c>
      <c r="M74" s="129"/>
      <c r="N74" s="130"/>
      <c r="O74" s="4">
        <v>1035</v>
      </c>
      <c r="P74" s="4">
        <v>1035</v>
      </c>
      <c r="Q74" s="129">
        <v>851</v>
      </c>
    </row>
    <row r="75" spans="1:17">
      <c r="A75" s="4">
        <v>93</v>
      </c>
      <c r="B75" s="129">
        <v>1</v>
      </c>
      <c r="C75" s="129">
        <v>1</v>
      </c>
      <c r="D75" s="129">
        <v>0</v>
      </c>
      <c r="E75" s="130" t="s">
        <v>1465</v>
      </c>
      <c r="F75" s="129">
        <v>24</v>
      </c>
      <c r="G75" s="129">
        <v>12</v>
      </c>
      <c r="H75" s="130">
        <v>6</v>
      </c>
      <c r="I75" s="129"/>
      <c r="J75" s="129"/>
      <c r="K75" s="130"/>
      <c r="L75" s="129"/>
      <c r="M75" s="129"/>
      <c r="N75" s="130"/>
      <c r="O75" s="4">
        <v>305</v>
      </c>
      <c r="P75" s="4">
        <v>366</v>
      </c>
      <c r="Q75" s="129">
        <v>121</v>
      </c>
    </row>
    <row r="76" spans="1:17">
      <c r="A76" s="4">
        <v>94</v>
      </c>
      <c r="B76" s="129">
        <v>0</v>
      </c>
      <c r="C76" s="129">
        <v>2</v>
      </c>
      <c r="D76" s="129">
        <v>-2</v>
      </c>
      <c r="E76" s="130" t="s">
        <v>1465</v>
      </c>
      <c r="F76" s="129">
        <v>12</v>
      </c>
      <c r="G76" s="129">
        <v>12</v>
      </c>
      <c r="H76" s="130">
        <v>1</v>
      </c>
      <c r="I76" s="129"/>
      <c r="J76" s="129"/>
      <c r="K76" s="130"/>
      <c r="L76" s="129"/>
      <c r="M76" s="129"/>
      <c r="N76" s="130"/>
      <c r="O76" s="4">
        <v>244</v>
      </c>
      <c r="P76" s="4">
        <v>61</v>
      </c>
      <c r="Q76" s="129">
        <v>61</v>
      </c>
    </row>
    <row r="77" spans="1:17">
      <c r="A77" s="4">
        <v>97</v>
      </c>
      <c r="B77" s="129">
        <v>1</v>
      </c>
      <c r="C77" s="129">
        <v>2</v>
      </c>
      <c r="D77" s="129">
        <v>-1</v>
      </c>
      <c r="E77" s="130" t="s">
        <v>1461</v>
      </c>
      <c r="F77" s="129">
        <v>24</v>
      </c>
      <c r="G77" s="129">
        <v>4</v>
      </c>
      <c r="H77" s="130">
        <v>12</v>
      </c>
      <c r="I77" s="129"/>
      <c r="J77" s="129"/>
      <c r="K77" s="130"/>
      <c r="L77" s="129"/>
      <c r="M77" s="129"/>
      <c r="N77" s="130"/>
      <c r="O77" s="4">
        <v>244</v>
      </c>
      <c r="P77" s="4">
        <v>0</v>
      </c>
      <c r="Q77" s="129">
        <v>0</v>
      </c>
    </row>
    <row r="78" spans="1:17">
      <c r="A78" s="4">
        <v>98</v>
      </c>
      <c r="B78" s="129">
        <v>1</v>
      </c>
      <c r="C78" s="129">
        <v>3</v>
      </c>
      <c r="D78" s="129">
        <v>-2</v>
      </c>
      <c r="E78" s="130" t="s">
        <v>1461</v>
      </c>
      <c r="F78" s="129">
        <v>6</v>
      </c>
      <c r="G78" s="129">
        <v>1.5</v>
      </c>
      <c r="H78" s="130">
        <v>1</v>
      </c>
      <c r="I78" s="129">
        <v>12</v>
      </c>
      <c r="J78" s="129">
        <v>6</v>
      </c>
      <c r="K78" s="130">
        <v>1</v>
      </c>
      <c r="L78" s="129">
        <v>36</v>
      </c>
      <c r="M78" s="129">
        <v>12</v>
      </c>
      <c r="N78" s="130">
        <v>1</v>
      </c>
      <c r="O78" s="4">
        <v>183</v>
      </c>
      <c r="P78" s="4">
        <v>183</v>
      </c>
      <c r="Q78" s="129">
        <v>61</v>
      </c>
    </row>
    <row r="79" spans="1:17">
      <c r="A79" s="4">
        <v>99</v>
      </c>
      <c r="B79" s="129">
        <v>1</v>
      </c>
      <c r="C79" s="129">
        <v>2</v>
      </c>
      <c r="D79" s="129">
        <v>-1</v>
      </c>
      <c r="E79" s="130" t="s">
        <v>1465</v>
      </c>
      <c r="F79" s="129">
        <v>12</v>
      </c>
      <c r="G79" s="129"/>
      <c r="H79" s="130"/>
      <c r="I79" s="129"/>
      <c r="J79" s="129"/>
      <c r="K79" s="130"/>
      <c r="L79" s="129"/>
      <c r="M79" s="129"/>
      <c r="N79" s="130"/>
      <c r="O79" s="4"/>
      <c r="P79" s="4"/>
      <c r="Q79" s="129"/>
    </row>
    <row r="80" spans="1:17">
      <c r="A80" s="4">
        <v>100</v>
      </c>
      <c r="B80" s="129">
        <v>1</v>
      </c>
      <c r="C80" s="129">
        <v>2</v>
      </c>
      <c r="D80" s="129">
        <v>-1</v>
      </c>
      <c r="E80" s="130" t="s">
        <v>1461</v>
      </c>
      <c r="F80" s="129">
        <v>12</v>
      </c>
      <c r="G80" s="129">
        <v>6</v>
      </c>
      <c r="H80" s="130">
        <v>2</v>
      </c>
      <c r="I80" s="129"/>
      <c r="J80" s="129"/>
      <c r="K80" s="130"/>
      <c r="L80" s="129"/>
      <c r="M80" s="129"/>
      <c r="N80" s="130"/>
      <c r="O80" s="4">
        <v>61</v>
      </c>
      <c r="P80" s="4">
        <v>61</v>
      </c>
      <c r="Q80" s="129">
        <v>244</v>
      </c>
    </row>
    <row r="81" spans="1:17">
      <c r="A81" s="4">
        <v>101</v>
      </c>
      <c r="B81" s="129">
        <v>1</v>
      </c>
      <c r="C81" s="129">
        <v>1</v>
      </c>
      <c r="D81" s="129">
        <v>0</v>
      </c>
      <c r="E81" s="130" t="s">
        <v>1465</v>
      </c>
      <c r="F81" s="129">
        <v>36</v>
      </c>
      <c r="G81" s="129">
        <v>12</v>
      </c>
      <c r="H81" s="130">
        <v>6</v>
      </c>
      <c r="I81" s="129"/>
      <c r="J81" s="129"/>
      <c r="K81" s="130"/>
      <c r="L81" s="129"/>
      <c r="M81" s="129"/>
      <c r="N81" s="130"/>
      <c r="O81" s="4">
        <v>305</v>
      </c>
      <c r="P81" s="4">
        <v>61</v>
      </c>
      <c r="Q81" s="129">
        <v>61</v>
      </c>
    </row>
    <row r="82" spans="1:17">
      <c r="A82" s="4">
        <v>102</v>
      </c>
      <c r="B82" s="129">
        <v>1</v>
      </c>
      <c r="C82" s="129">
        <v>3</v>
      </c>
      <c r="D82" s="129">
        <v>-2</v>
      </c>
      <c r="E82" s="130" t="s">
        <v>1465</v>
      </c>
      <c r="F82" s="129">
        <v>18</v>
      </c>
      <c r="G82" s="129"/>
      <c r="H82" s="130">
        <v>3</v>
      </c>
      <c r="I82" s="129"/>
      <c r="J82" s="129"/>
      <c r="K82" s="130"/>
      <c r="L82" s="129"/>
      <c r="M82" s="129"/>
      <c r="N82" s="130"/>
      <c r="O82" s="4">
        <v>121</v>
      </c>
      <c r="P82" s="4">
        <v>121</v>
      </c>
      <c r="Q82" s="129">
        <v>61</v>
      </c>
    </row>
    <row r="83" spans="1:17">
      <c r="A83" s="4">
        <v>103</v>
      </c>
      <c r="B83" s="129">
        <v>2</v>
      </c>
      <c r="C83" s="129">
        <v>3</v>
      </c>
      <c r="D83" s="129">
        <v>-1</v>
      </c>
      <c r="E83" s="130" t="s">
        <v>1465</v>
      </c>
      <c r="F83" s="129">
        <v>24</v>
      </c>
      <c r="G83" s="129">
        <v>24</v>
      </c>
      <c r="H83" s="130">
        <v>12</v>
      </c>
      <c r="I83" s="129">
        <v>24</v>
      </c>
      <c r="J83" s="129">
        <v>24</v>
      </c>
      <c r="K83" s="130">
        <v>8</v>
      </c>
      <c r="L83" s="129"/>
      <c r="M83" s="129"/>
      <c r="N83" s="130"/>
      <c r="O83" s="4">
        <v>609</v>
      </c>
      <c r="P83" s="4">
        <v>609</v>
      </c>
      <c r="Q83" s="129">
        <v>121</v>
      </c>
    </row>
    <row r="84" spans="1:17">
      <c r="A84" s="4">
        <v>104</v>
      </c>
      <c r="B84" s="129">
        <v>3</v>
      </c>
      <c r="C84" s="129">
        <v>3</v>
      </c>
      <c r="D84" s="129">
        <v>0</v>
      </c>
      <c r="E84" s="130" t="s">
        <v>1465</v>
      </c>
      <c r="F84" s="129">
        <v>12</v>
      </c>
      <c r="G84" s="129"/>
      <c r="H84" s="130">
        <v>6</v>
      </c>
      <c r="I84" s="129">
        <v>24</v>
      </c>
      <c r="J84" s="129"/>
      <c r="K84" s="130">
        <v>6</v>
      </c>
      <c r="L84" s="129">
        <v>36</v>
      </c>
      <c r="M84" s="129"/>
      <c r="N84" s="130">
        <v>12</v>
      </c>
      <c r="O84" s="4">
        <v>609</v>
      </c>
      <c r="P84" s="4">
        <v>609</v>
      </c>
      <c r="Q84" s="129">
        <v>609</v>
      </c>
    </row>
    <row r="85" spans="1:17">
      <c r="A85" s="4">
        <v>105</v>
      </c>
      <c r="B85" s="129">
        <v>1</v>
      </c>
      <c r="C85" s="129">
        <v>2</v>
      </c>
      <c r="D85" s="129">
        <v>-1</v>
      </c>
      <c r="E85" s="130" t="s">
        <v>1465</v>
      </c>
      <c r="F85" s="129">
        <v>24</v>
      </c>
      <c r="G85" s="129"/>
      <c r="H85" s="130">
        <v>6</v>
      </c>
      <c r="I85" s="129"/>
      <c r="J85" s="129"/>
      <c r="K85" s="130"/>
      <c r="L85" s="129"/>
      <c r="M85" s="129"/>
      <c r="N85" s="130"/>
      <c r="O85" s="4">
        <v>305</v>
      </c>
      <c r="P85" s="4">
        <v>305</v>
      </c>
      <c r="Q85" s="129">
        <v>121</v>
      </c>
    </row>
    <row r="86" spans="1:17">
      <c r="A86" s="4">
        <v>107</v>
      </c>
      <c r="B86" s="129">
        <v>1</v>
      </c>
      <c r="C86" s="129">
        <v>2</v>
      </c>
      <c r="D86" s="129">
        <v>-1</v>
      </c>
      <c r="E86" s="130" t="s">
        <v>116</v>
      </c>
      <c r="F86" s="129">
        <v>12</v>
      </c>
      <c r="G86" s="150"/>
      <c r="H86" s="130">
        <v>1</v>
      </c>
      <c r="I86" s="129">
        <v>12</v>
      </c>
      <c r="J86" s="129"/>
      <c r="K86" s="130"/>
      <c r="L86" s="129"/>
      <c r="M86" s="129"/>
      <c r="N86" s="130"/>
      <c r="O86" s="4">
        <v>183</v>
      </c>
      <c r="P86" s="4">
        <v>183</v>
      </c>
      <c r="Q86" s="129">
        <v>121</v>
      </c>
    </row>
    <row r="89" spans="1:17" ht="15" thickBot="1"/>
    <row r="90" spans="1:17" ht="39" customHeight="1">
      <c r="E90" s="133"/>
      <c r="F90" s="667" t="s">
        <v>1448</v>
      </c>
      <c r="G90" s="703"/>
      <c r="H90" s="704"/>
      <c r="I90" s="667" t="s">
        <v>1449</v>
      </c>
      <c r="J90" s="703"/>
      <c r="K90" s="704"/>
      <c r="L90" s="667" t="s">
        <v>1450</v>
      </c>
      <c r="M90" s="703"/>
      <c r="N90" s="703"/>
    </row>
    <row r="91" spans="1:17" ht="45">
      <c r="E91" s="134"/>
      <c r="F91" s="127" t="s">
        <v>1454</v>
      </c>
      <c r="G91" s="127" t="s">
        <v>1455</v>
      </c>
      <c r="H91" s="128" t="s">
        <v>1456</v>
      </c>
      <c r="I91" s="127" t="s">
        <v>1454</v>
      </c>
      <c r="J91" s="127" t="s">
        <v>1455</v>
      </c>
      <c r="K91" s="128" t="s">
        <v>1456</v>
      </c>
      <c r="L91" s="127" t="s">
        <v>1454</v>
      </c>
      <c r="M91" s="127" t="s">
        <v>1455</v>
      </c>
      <c r="N91" s="127" t="s">
        <v>1456</v>
      </c>
    </row>
    <row r="92" spans="1:17" ht="15">
      <c r="E92" s="135" t="s">
        <v>1467</v>
      </c>
      <c r="F92" s="136">
        <f t="shared" ref="F92:N92" si="0">AVERAGE(F3:F86)</f>
        <v>17.416666666666668</v>
      </c>
      <c r="G92" s="136">
        <f t="shared" si="0"/>
        <v>8.1933962264150946</v>
      </c>
      <c r="H92" s="137">
        <f t="shared" si="0"/>
        <v>4.2587719298245617</v>
      </c>
      <c r="I92" s="136">
        <f t="shared" si="0"/>
        <v>19.375</v>
      </c>
      <c r="J92" s="136">
        <f t="shared" si="0"/>
        <v>9.7727272727272734</v>
      </c>
      <c r="K92" s="137">
        <f t="shared" si="0"/>
        <v>5.612903225806452</v>
      </c>
      <c r="L92" s="136">
        <f t="shared" si="0"/>
        <v>28.46153846153846</v>
      </c>
      <c r="M92" s="136">
        <f t="shared" si="0"/>
        <v>12.76</v>
      </c>
      <c r="N92" s="136">
        <f t="shared" si="0"/>
        <v>8.0694444444444446</v>
      </c>
    </row>
    <row r="93" spans="1:17" ht="15">
      <c r="E93" s="139" t="s">
        <v>1468</v>
      </c>
      <c r="F93" s="144">
        <f t="shared" ref="F93:N93" si="1">PERCENTILE(F3:F86,0.05)</f>
        <v>6</v>
      </c>
      <c r="G93" s="144">
        <f t="shared" si="1"/>
        <v>1</v>
      </c>
      <c r="H93" s="145">
        <f t="shared" si="1"/>
        <v>0.5</v>
      </c>
      <c r="I93" s="144">
        <f t="shared" si="1"/>
        <v>12</v>
      </c>
      <c r="J93" s="144">
        <f t="shared" si="1"/>
        <v>2.8</v>
      </c>
      <c r="K93" s="145">
        <f t="shared" si="1"/>
        <v>1</v>
      </c>
      <c r="L93" s="144">
        <f t="shared" si="1"/>
        <v>12</v>
      </c>
      <c r="M93" s="144">
        <f t="shared" si="1"/>
        <v>4.4000000000000004</v>
      </c>
      <c r="N93" s="144">
        <f t="shared" si="1"/>
        <v>0.88750000000000007</v>
      </c>
    </row>
    <row r="94" spans="1:17" ht="15">
      <c r="E94" s="138" t="s">
        <v>1469</v>
      </c>
      <c r="F94" s="2">
        <f t="shared" ref="F94:N94" si="2">QUARTILE(F3:F86, 1)</f>
        <v>12</v>
      </c>
      <c r="G94" s="2">
        <f t="shared" si="2"/>
        <v>3</v>
      </c>
      <c r="H94" s="143">
        <f t="shared" si="2"/>
        <v>1</v>
      </c>
      <c r="I94" s="2">
        <f t="shared" si="2"/>
        <v>12</v>
      </c>
      <c r="J94" s="2">
        <f t="shared" si="2"/>
        <v>6</v>
      </c>
      <c r="K94" s="142">
        <f t="shared" si="2"/>
        <v>2</v>
      </c>
      <c r="L94" s="2">
        <f t="shared" si="2"/>
        <v>24</v>
      </c>
      <c r="M94" s="2">
        <f t="shared" si="2"/>
        <v>7</v>
      </c>
      <c r="N94" s="2">
        <f t="shared" si="2"/>
        <v>3</v>
      </c>
    </row>
    <row r="95" spans="1:17" ht="15">
      <c r="E95" s="139" t="s">
        <v>1470</v>
      </c>
      <c r="F95" s="140">
        <f t="shared" ref="F95:N95" si="3">MEDIAN(F3:F86)</f>
        <v>12</v>
      </c>
      <c r="G95" s="140">
        <f t="shared" si="3"/>
        <v>6</v>
      </c>
      <c r="H95" s="141">
        <f t="shared" si="3"/>
        <v>3</v>
      </c>
      <c r="I95" s="140">
        <f t="shared" si="3"/>
        <v>18</v>
      </c>
      <c r="J95" s="140">
        <f t="shared" si="3"/>
        <v>6</v>
      </c>
      <c r="K95" s="141">
        <f t="shared" si="3"/>
        <v>3</v>
      </c>
      <c r="L95" s="140">
        <f t="shared" si="3"/>
        <v>24</v>
      </c>
      <c r="M95" s="140">
        <f t="shared" si="3"/>
        <v>12</v>
      </c>
      <c r="N95" s="140">
        <f t="shared" si="3"/>
        <v>6</v>
      </c>
      <c r="Q95">
        <v>2</v>
      </c>
    </row>
    <row r="96" spans="1:17" ht="15">
      <c r="E96" s="138" t="s">
        <v>1471</v>
      </c>
      <c r="F96" s="3">
        <f t="shared" ref="F96:N96" si="4">QUARTILE(F3:F86, 3)</f>
        <v>24</v>
      </c>
      <c r="G96" s="3">
        <f t="shared" si="4"/>
        <v>12</v>
      </c>
      <c r="H96" s="142">
        <f t="shared" si="4"/>
        <v>6</v>
      </c>
      <c r="I96" s="3">
        <f t="shared" si="4"/>
        <v>24</v>
      </c>
      <c r="J96" s="3">
        <f t="shared" si="4"/>
        <v>12</v>
      </c>
      <c r="K96" s="142">
        <f t="shared" si="4"/>
        <v>6</v>
      </c>
      <c r="L96" s="3">
        <f t="shared" si="4"/>
        <v>36</v>
      </c>
      <c r="M96" s="3">
        <f t="shared" si="4"/>
        <v>12</v>
      </c>
      <c r="N96" s="3">
        <f t="shared" si="4"/>
        <v>12</v>
      </c>
    </row>
    <row r="97" spans="5:14" ht="15.75" thickBot="1">
      <c r="E97" s="146" t="s">
        <v>1472</v>
      </c>
      <c r="F97" s="147">
        <f t="shared" ref="F97:N97" si="5">PERCENTILE(F3:F86,0.95)</f>
        <v>36</v>
      </c>
      <c r="G97" s="147">
        <f t="shared" si="5"/>
        <v>16.199999999999996</v>
      </c>
      <c r="H97" s="148">
        <f t="shared" si="5"/>
        <v>12</v>
      </c>
      <c r="I97" s="147">
        <f t="shared" si="5"/>
        <v>36</v>
      </c>
      <c r="J97" s="147">
        <f t="shared" si="5"/>
        <v>24</v>
      </c>
      <c r="K97" s="148">
        <f t="shared" si="5"/>
        <v>18</v>
      </c>
      <c r="L97" s="147">
        <f t="shared" si="5"/>
        <v>43.800000000000026</v>
      </c>
      <c r="M97" s="147">
        <f t="shared" si="5"/>
        <v>28.799999999999983</v>
      </c>
      <c r="N97" s="147">
        <f t="shared" si="5"/>
        <v>24.899999999999991</v>
      </c>
    </row>
    <row r="101" spans="5:14" ht="15">
      <c r="F101" s="705" t="s">
        <v>1473</v>
      </c>
      <c r="G101" s="705"/>
      <c r="H101" s="705"/>
      <c r="I101" s="705" t="s">
        <v>1478</v>
      </c>
      <c r="J101" s="705"/>
      <c r="K101" s="705"/>
      <c r="L101" s="705" t="s">
        <v>1479</v>
      </c>
      <c r="M101" s="705"/>
      <c r="N101" s="705"/>
    </row>
    <row r="102" spans="5:14" ht="15">
      <c r="E102" s="1" t="s">
        <v>1474</v>
      </c>
      <c r="F102" s="1" t="s">
        <v>1245</v>
      </c>
      <c r="G102" s="1" t="s">
        <v>1438</v>
      </c>
      <c r="H102" s="1" t="s">
        <v>1456</v>
      </c>
      <c r="I102" s="1" t="s">
        <v>1245</v>
      </c>
      <c r="J102" s="1" t="s">
        <v>1438</v>
      </c>
      <c r="K102" s="1" t="s">
        <v>1456</v>
      </c>
      <c r="L102" s="1" t="s">
        <v>1245</v>
      </c>
      <c r="M102" s="1" t="s">
        <v>1438</v>
      </c>
      <c r="N102" s="1" t="s">
        <v>1456</v>
      </c>
    </row>
    <row r="103" spans="5:14">
      <c r="E103" t="str">
        <f t="shared" ref="E103:N103" si="6">E93</f>
        <v>5th percentile</v>
      </c>
      <c r="F103" s="136">
        <f t="shared" si="6"/>
        <v>6</v>
      </c>
      <c r="G103" s="136">
        <f t="shared" si="6"/>
        <v>1</v>
      </c>
      <c r="H103" s="136">
        <f t="shared" si="6"/>
        <v>0.5</v>
      </c>
      <c r="I103" s="136">
        <f t="shared" si="6"/>
        <v>12</v>
      </c>
      <c r="J103" s="136">
        <f t="shared" si="6"/>
        <v>2.8</v>
      </c>
      <c r="K103" s="136">
        <f t="shared" si="6"/>
        <v>1</v>
      </c>
      <c r="L103" s="136">
        <f t="shared" si="6"/>
        <v>12</v>
      </c>
      <c r="M103" s="136">
        <f t="shared" si="6"/>
        <v>4.4000000000000004</v>
      </c>
      <c r="N103" s="136">
        <f t="shared" si="6"/>
        <v>0.88750000000000007</v>
      </c>
    </row>
    <row r="104" spans="5:14">
      <c r="E104" t="s">
        <v>1475</v>
      </c>
      <c r="F104" s="136">
        <f t="shared" ref="F104:N104" si="7">F94-F93</f>
        <v>6</v>
      </c>
      <c r="G104" s="136">
        <f t="shared" si="7"/>
        <v>2</v>
      </c>
      <c r="H104" s="136">
        <f t="shared" si="7"/>
        <v>0.5</v>
      </c>
      <c r="I104" s="136">
        <f t="shared" si="7"/>
        <v>0</v>
      </c>
      <c r="J104" s="136">
        <f t="shared" si="7"/>
        <v>3.2</v>
      </c>
      <c r="K104" s="136">
        <f t="shared" si="7"/>
        <v>1</v>
      </c>
      <c r="L104" s="136">
        <f t="shared" si="7"/>
        <v>12</v>
      </c>
      <c r="M104" s="136">
        <f t="shared" si="7"/>
        <v>2.5999999999999996</v>
      </c>
      <c r="N104" s="136">
        <f t="shared" si="7"/>
        <v>2.1124999999999998</v>
      </c>
    </row>
    <row r="105" spans="5:14">
      <c r="E105" t="s">
        <v>1476</v>
      </c>
      <c r="F105">
        <f t="shared" ref="F105:N105" si="8">F95-F94</f>
        <v>0</v>
      </c>
      <c r="G105">
        <f t="shared" si="8"/>
        <v>3</v>
      </c>
      <c r="H105">
        <f t="shared" si="8"/>
        <v>2</v>
      </c>
      <c r="I105">
        <f t="shared" si="8"/>
        <v>6</v>
      </c>
      <c r="J105">
        <f t="shared" si="8"/>
        <v>0</v>
      </c>
      <c r="K105">
        <f t="shared" si="8"/>
        <v>1</v>
      </c>
      <c r="L105">
        <f t="shared" si="8"/>
        <v>0</v>
      </c>
      <c r="M105">
        <f t="shared" si="8"/>
        <v>5</v>
      </c>
      <c r="N105">
        <f t="shared" si="8"/>
        <v>3</v>
      </c>
    </row>
    <row r="106" spans="5:14">
      <c r="E106" t="s">
        <v>1477</v>
      </c>
      <c r="F106">
        <f t="shared" ref="F106:N106" si="9">F96-F95</f>
        <v>12</v>
      </c>
      <c r="G106">
        <f t="shared" si="9"/>
        <v>6</v>
      </c>
      <c r="H106">
        <f t="shared" si="9"/>
        <v>3</v>
      </c>
      <c r="I106">
        <f t="shared" si="9"/>
        <v>6</v>
      </c>
      <c r="J106">
        <f t="shared" si="9"/>
        <v>6</v>
      </c>
      <c r="K106">
        <f t="shared" si="9"/>
        <v>3</v>
      </c>
      <c r="L106">
        <f t="shared" si="9"/>
        <v>12</v>
      </c>
      <c r="M106">
        <f t="shared" si="9"/>
        <v>0</v>
      </c>
      <c r="N106">
        <f t="shared" si="9"/>
        <v>6</v>
      </c>
    </row>
    <row r="107" spans="5:14">
      <c r="E107" t="s">
        <v>1472</v>
      </c>
      <c r="F107" s="136">
        <f t="shared" ref="F107:N107" si="10">F97-F96</f>
        <v>12</v>
      </c>
      <c r="G107" s="136">
        <f t="shared" si="10"/>
        <v>4.1999999999999957</v>
      </c>
      <c r="H107" s="136">
        <f t="shared" si="10"/>
        <v>6</v>
      </c>
      <c r="I107" s="136">
        <f t="shared" si="10"/>
        <v>12</v>
      </c>
      <c r="J107" s="136">
        <f t="shared" si="10"/>
        <v>12</v>
      </c>
      <c r="K107" s="136">
        <f t="shared" si="10"/>
        <v>12</v>
      </c>
      <c r="L107" s="136">
        <f t="shared" si="10"/>
        <v>7.8000000000000256</v>
      </c>
      <c r="M107" s="136">
        <f t="shared" si="10"/>
        <v>16.799999999999983</v>
      </c>
      <c r="N107" s="136">
        <f t="shared" si="10"/>
        <v>12.899999999999991</v>
      </c>
    </row>
    <row r="108" spans="5:14">
      <c r="E108" t="s">
        <v>1467</v>
      </c>
      <c r="F108" s="136">
        <f t="shared" ref="F108:N108" si="11">F92</f>
        <v>17.416666666666668</v>
      </c>
      <c r="G108" s="136">
        <f t="shared" si="11"/>
        <v>8.1933962264150946</v>
      </c>
      <c r="H108" s="136">
        <f t="shared" si="11"/>
        <v>4.2587719298245617</v>
      </c>
      <c r="I108" s="136">
        <f t="shared" si="11"/>
        <v>19.375</v>
      </c>
      <c r="J108" s="136">
        <f t="shared" si="11"/>
        <v>9.7727272727272734</v>
      </c>
      <c r="K108" s="136">
        <f t="shared" si="11"/>
        <v>5.612903225806452</v>
      </c>
      <c r="L108" s="136">
        <f t="shared" si="11"/>
        <v>28.46153846153846</v>
      </c>
      <c r="M108" s="136">
        <f t="shared" si="11"/>
        <v>12.76</v>
      </c>
      <c r="N108" s="136">
        <f t="shared" si="11"/>
        <v>8.0694444444444446</v>
      </c>
    </row>
    <row r="109" spans="5:14">
      <c r="F109" s="136"/>
      <c r="G109" s="136"/>
      <c r="H109" s="136"/>
      <c r="I109" s="136"/>
      <c r="J109" s="136"/>
      <c r="K109" s="136"/>
      <c r="L109" s="136"/>
      <c r="M109" s="136"/>
      <c r="N109" s="136"/>
    </row>
    <row r="110" spans="5:14" ht="15">
      <c r="F110" s="706" t="s">
        <v>1245</v>
      </c>
      <c r="G110" s="706"/>
      <c r="H110" s="706"/>
      <c r="I110" s="706" t="s">
        <v>1438</v>
      </c>
      <c r="J110" s="706"/>
      <c r="K110" s="706"/>
      <c r="L110" s="706" t="s">
        <v>1456</v>
      </c>
      <c r="M110" s="706"/>
      <c r="N110" s="706"/>
    </row>
    <row r="111" spans="5:14" ht="15">
      <c r="E111" s="1" t="s">
        <v>1474</v>
      </c>
      <c r="F111" s="1" t="s">
        <v>1473</v>
      </c>
      <c r="G111" s="1" t="s">
        <v>1478</v>
      </c>
      <c r="H111" s="1" t="s">
        <v>1479</v>
      </c>
      <c r="I111" s="1" t="s">
        <v>1473</v>
      </c>
      <c r="J111" s="1" t="s">
        <v>1478</v>
      </c>
      <c r="K111" s="1" t="s">
        <v>1479</v>
      </c>
      <c r="L111" s="1" t="s">
        <v>1473</v>
      </c>
      <c r="M111" s="1" t="s">
        <v>1478</v>
      </c>
      <c r="N111" s="1" t="s">
        <v>1479</v>
      </c>
    </row>
    <row r="112" spans="5:14">
      <c r="E112" t="s">
        <v>1468</v>
      </c>
      <c r="F112" s="136">
        <f>F103</f>
        <v>6</v>
      </c>
      <c r="G112" s="136">
        <f>I103</f>
        <v>12</v>
      </c>
      <c r="H112" s="136">
        <f>L103</f>
        <v>12</v>
      </c>
      <c r="I112" s="136">
        <f>G103</f>
        <v>1</v>
      </c>
      <c r="J112" s="136">
        <f>J103</f>
        <v>2.8</v>
      </c>
      <c r="K112" s="136">
        <f t="shared" ref="K112:K117" si="12">M103</f>
        <v>4.4000000000000004</v>
      </c>
      <c r="L112" s="136">
        <f>H103</f>
        <v>0.5</v>
      </c>
      <c r="M112" s="136">
        <f>K103</f>
        <v>1</v>
      </c>
      <c r="N112" s="136">
        <f>N103</f>
        <v>0.88750000000000007</v>
      </c>
    </row>
    <row r="113" spans="5:14">
      <c r="E113" t="s">
        <v>1475</v>
      </c>
      <c r="F113" s="136">
        <f t="shared" ref="F113:F116" si="13">F104</f>
        <v>6</v>
      </c>
      <c r="G113" s="136">
        <f t="shared" ref="G113:G116" si="14">I104</f>
        <v>0</v>
      </c>
      <c r="H113" s="136">
        <f t="shared" ref="H113:H116" si="15">L104</f>
        <v>12</v>
      </c>
      <c r="I113" s="136">
        <f t="shared" ref="I113:I116" si="16">G104</f>
        <v>2</v>
      </c>
      <c r="J113" s="136">
        <f t="shared" ref="J113:J116" si="17">J104</f>
        <v>3.2</v>
      </c>
      <c r="K113" s="136">
        <f t="shared" si="12"/>
        <v>2.5999999999999996</v>
      </c>
      <c r="L113" s="136">
        <f t="shared" ref="L113:L116" si="18">H104</f>
        <v>0.5</v>
      </c>
      <c r="M113" s="136">
        <f t="shared" ref="M113:M116" si="19">K104</f>
        <v>1</v>
      </c>
      <c r="N113" s="136">
        <f t="shared" ref="N113:N116" si="20">N104</f>
        <v>2.1124999999999998</v>
      </c>
    </row>
    <row r="114" spans="5:14">
      <c r="E114" t="s">
        <v>1476</v>
      </c>
      <c r="F114" s="136">
        <f t="shared" si="13"/>
        <v>0</v>
      </c>
      <c r="G114" s="136">
        <f t="shared" si="14"/>
        <v>6</v>
      </c>
      <c r="H114" s="136">
        <f t="shared" si="15"/>
        <v>0</v>
      </c>
      <c r="I114" s="136">
        <f t="shared" si="16"/>
        <v>3</v>
      </c>
      <c r="J114" s="136">
        <f t="shared" si="17"/>
        <v>0</v>
      </c>
      <c r="K114" s="136">
        <f t="shared" si="12"/>
        <v>5</v>
      </c>
      <c r="L114" s="136">
        <f t="shared" si="18"/>
        <v>2</v>
      </c>
      <c r="M114" s="136">
        <f t="shared" si="19"/>
        <v>1</v>
      </c>
      <c r="N114" s="136">
        <f t="shared" si="20"/>
        <v>3</v>
      </c>
    </row>
    <row r="115" spans="5:14">
      <c r="E115" t="s">
        <v>1477</v>
      </c>
      <c r="F115" s="136">
        <f t="shared" si="13"/>
        <v>12</v>
      </c>
      <c r="G115" s="136">
        <f t="shared" si="14"/>
        <v>6</v>
      </c>
      <c r="H115" s="136">
        <f t="shared" si="15"/>
        <v>12</v>
      </c>
      <c r="I115" s="136">
        <f t="shared" si="16"/>
        <v>6</v>
      </c>
      <c r="J115" s="136">
        <f t="shared" si="17"/>
        <v>6</v>
      </c>
      <c r="K115" s="136">
        <f t="shared" si="12"/>
        <v>0</v>
      </c>
      <c r="L115" s="136">
        <f t="shared" si="18"/>
        <v>3</v>
      </c>
      <c r="M115" s="136">
        <f t="shared" si="19"/>
        <v>3</v>
      </c>
      <c r="N115" s="136">
        <f t="shared" si="20"/>
        <v>6</v>
      </c>
    </row>
    <row r="116" spans="5:14">
      <c r="E116" t="s">
        <v>1472</v>
      </c>
      <c r="F116" s="136">
        <f t="shared" si="13"/>
        <v>12</v>
      </c>
      <c r="G116" s="136">
        <f t="shared" si="14"/>
        <v>12</v>
      </c>
      <c r="H116" s="136">
        <f t="shared" si="15"/>
        <v>7.8000000000000256</v>
      </c>
      <c r="I116" s="136">
        <f t="shared" si="16"/>
        <v>4.1999999999999957</v>
      </c>
      <c r="J116" s="136">
        <f t="shared" si="17"/>
        <v>12</v>
      </c>
      <c r="K116" s="136">
        <f t="shared" si="12"/>
        <v>16.799999999999983</v>
      </c>
      <c r="L116" s="136">
        <f t="shared" si="18"/>
        <v>6</v>
      </c>
      <c r="M116" s="136">
        <f t="shared" si="19"/>
        <v>12</v>
      </c>
      <c r="N116" s="136">
        <f t="shared" si="20"/>
        <v>12.899999999999991</v>
      </c>
    </row>
    <row r="117" spans="5:14">
      <c r="E117" t="s">
        <v>1467</v>
      </c>
      <c r="F117" s="136">
        <f>F108</f>
        <v>17.416666666666668</v>
      </c>
      <c r="G117" s="136">
        <f>I108</f>
        <v>19.375</v>
      </c>
      <c r="H117" s="136">
        <f>L108</f>
        <v>28.46153846153846</v>
      </c>
      <c r="I117" s="136">
        <f>G108</f>
        <v>8.1933962264150946</v>
      </c>
      <c r="J117" s="136">
        <f>J108</f>
        <v>9.7727272727272734</v>
      </c>
      <c r="K117" s="136">
        <f t="shared" si="12"/>
        <v>12.76</v>
      </c>
      <c r="L117" s="136">
        <f>H108</f>
        <v>4.2587719298245617</v>
      </c>
      <c r="M117" s="136">
        <f>K108</f>
        <v>5.612903225806452</v>
      </c>
      <c r="N117" s="136">
        <f>N108</f>
        <v>8.0694444444444446</v>
      </c>
    </row>
  </sheetData>
  <sheetProtection algorithmName="SHA-512" hashValue="iirfOhTt6NqcAZs1uJZ+0uZ75iiijWW/uyjJ5LZZ9ATXHY+zHvffVg/z15SXzEpbenVZgVmxBzvKqEuZdvmTPw==" saltValue="D+CLjzwDHuZNu7QkNcl80A==" spinCount="100000" sheet="1" objects="1" scenarios="1"/>
  <autoFilter ref="A2:Q86"/>
  <mergeCells count="12">
    <mergeCell ref="F101:H101"/>
    <mergeCell ref="I101:K101"/>
    <mergeCell ref="L101:N101"/>
    <mergeCell ref="F110:H110"/>
    <mergeCell ref="I110:K110"/>
    <mergeCell ref="L110:N110"/>
    <mergeCell ref="F1:H1"/>
    <mergeCell ref="I1:K1"/>
    <mergeCell ref="L1:N1"/>
    <mergeCell ref="F90:H90"/>
    <mergeCell ref="I90:K90"/>
    <mergeCell ref="L90:N90"/>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859"/>
  <sheetViews>
    <sheetView zoomScale="70" zoomScaleNormal="70" workbookViewId="0">
      <selection activeCell="E17" sqref="E17"/>
    </sheetView>
  </sheetViews>
  <sheetFormatPr defaultRowHeight="14.25"/>
  <cols>
    <col min="1" max="1" width="47.875" customWidth="1"/>
    <col min="2" max="2" width="9.125" customWidth="1"/>
    <col min="3" max="3" width="24.125" customWidth="1"/>
    <col min="4" max="4" width="9.125" customWidth="1"/>
    <col min="5" max="5" width="27.875" customWidth="1"/>
    <col min="6" max="7" width="9.125" customWidth="1"/>
    <col min="8" max="8" width="24.875" customWidth="1"/>
    <col min="9" max="9" width="23.125" customWidth="1"/>
    <col min="10" max="10" width="20.875" customWidth="1"/>
    <col min="11" max="11" width="46.75" customWidth="1"/>
    <col min="12" max="12" width="20.25" customWidth="1"/>
    <col min="19" max="19" width="24.125" customWidth="1"/>
    <col min="20" max="25" width="13.25" customWidth="1"/>
    <col min="26" max="32" width="16.875" customWidth="1"/>
    <col min="33" max="40" width="13.375" customWidth="1"/>
    <col min="257" max="257" width="47.875" customWidth="1"/>
    <col min="258" max="258" width="9.125" customWidth="1"/>
    <col min="259" max="259" width="24.125" customWidth="1"/>
    <col min="260" max="260" width="9.125" customWidth="1"/>
    <col min="261" max="261" width="27.875" customWidth="1"/>
    <col min="262" max="263" width="9.125" customWidth="1"/>
    <col min="264" max="264" width="24.875" customWidth="1"/>
    <col min="265" max="267" width="46.75" customWidth="1"/>
    <col min="268" max="268" width="20.25" customWidth="1"/>
    <col min="275" max="275" width="12.75" customWidth="1"/>
    <col min="276" max="276" width="13.25" customWidth="1"/>
    <col min="513" max="513" width="47.875" customWidth="1"/>
    <col min="514" max="514" width="9.125" customWidth="1"/>
    <col min="515" max="515" width="24.125" customWidth="1"/>
    <col min="516" max="516" width="9.125" customWidth="1"/>
    <col min="517" max="517" width="27.875" customWidth="1"/>
    <col min="518" max="519" width="9.125" customWidth="1"/>
    <col min="520" max="520" width="24.875" customWidth="1"/>
    <col min="521" max="523" width="46.75" customWidth="1"/>
    <col min="524" max="524" width="20.25" customWidth="1"/>
    <col min="531" max="531" width="12.75" customWidth="1"/>
    <col min="532" max="532" width="13.25" customWidth="1"/>
    <col min="769" max="769" width="47.875" customWidth="1"/>
    <col min="770" max="770" width="9.125" customWidth="1"/>
    <col min="771" max="771" width="24.125" customWidth="1"/>
    <col min="772" max="772" width="9.125" customWidth="1"/>
    <col min="773" max="773" width="27.875" customWidth="1"/>
    <col min="774" max="775" width="9.125" customWidth="1"/>
    <col min="776" max="776" width="24.875" customWidth="1"/>
    <col min="777" max="779" width="46.75" customWidth="1"/>
    <col min="780" max="780" width="20.25" customWidth="1"/>
    <col min="787" max="787" width="12.75" customWidth="1"/>
    <col min="788" max="788" width="13.25" customWidth="1"/>
    <col min="1025" max="1025" width="47.875" customWidth="1"/>
    <col min="1026" max="1026" width="9.125" customWidth="1"/>
    <col min="1027" max="1027" width="24.125" customWidth="1"/>
    <col min="1028" max="1028" width="9.125" customWidth="1"/>
    <col min="1029" max="1029" width="27.875" customWidth="1"/>
    <col min="1030" max="1031" width="9.125" customWidth="1"/>
    <col min="1032" max="1032" width="24.875" customWidth="1"/>
    <col min="1033" max="1035" width="46.75" customWidth="1"/>
    <col min="1036" max="1036" width="20.25" customWidth="1"/>
    <col min="1043" max="1043" width="12.75" customWidth="1"/>
    <col min="1044" max="1044" width="13.25" customWidth="1"/>
    <col min="1281" max="1281" width="47.875" customWidth="1"/>
    <col min="1282" max="1282" width="9.125" customWidth="1"/>
    <col min="1283" max="1283" width="24.125" customWidth="1"/>
    <col min="1284" max="1284" width="9.125" customWidth="1"/>
    <col min="1285" max="1285" width="27.875" customWidth="1"/>
    <col min="1286" max="1287" width="9.125" customWidth="1"/>
    <col min="1288" max="1288" width="24.875" customWidth="1"/>
    <col min="1289" max="1291" width="46.75" customWidth="1"/>
    <col min="1292" max="1292" width="20.25" customWidth="1"/>
    <col min="1299" max="1299" width="12.75" customWidth="1"/>
    <col min="1300" max="1300" width="13.25" customWidth="1"/>
    <col min="1537" max="1537" width="47.875" customWidth="1"/>
    <col min="1538" max="1538" width="9.125" customWidth="1"/>
    <col min="1539" max="1539" width="24.125" customWidth="1"/>
    <col min="1540" max="1540" width="9.125" customWidth="1"/>
    <col min="1541" max="1541" width="27.875" customWidth="1"/>
    <col min="1542" max="1543" width="9.125" customWidth="1"/>
    <col min="1544" max="1544" width="24.875" customWidth="1"/>
    <col min="1545" max="1547" width="46.75" customWidth="1"/>
    <col min="1548" max="1548" width="20.25" customWidth="1"/>
    <col min="1555" max="1555" width="12.75" customWidth="1"/>
    <col min="1556" max="1556" width="13.25" customWidth="1"/>
    <col min="1793" max="1793" width="47.875" customWidth="1"/>
    <col min="1794" max="1794" width="9.125" customWidth="1"/>
    <col min="1795" max="1795" width="24.125" customWidth="1"/>
    <col min="1796" max="1796" width="9.125" customWidth="1"/>
    <col min="1797" max="1797" width="27.875" customWidth="1"/>
    <col min="1798" max="1799" width="9.125" customWidth="1"/>
    <col min="1800" max="1800" width="24.875" customWidth="1"/>
    <col min="1801" max="1803" width="46.75" customWidth="1"/>
    <col min="1804" max="1804" width="20.25" customWidth="1"/>
    <col min="1811" max="1811" width="12.75" customWidth="1"/>
    <col min="1812" max="1812" width="13.25" customWidth="1"/>
    <col min="2049" max="2049" width="47.875" customWidth="1"/>
    <col min="2050" max="2050" width="9.125" customWidth="1"/>
    <col min="2051" max="2051" width="24.125" customWidth="1"/>
    <col min="2052" max="2052" width="9.125" customWidth="1"/>
    <col min="2053" max="2053" width="27.875" customWidth="1"/>
    <col min="2054" max="2055" width="9.125" customWidth="1"/>
    <col min="2056" max="2056" width="24.875" customWidth="1"/>
    <col min="2057" max="2059" width="46.75" customWidth="1"/>
    <col min="2060" max="2060" width="20.25" customWidth="1"/>
    <col min="2067" max="2067" width="12.75" customWidth="1"/>
    <col min="2068" max="2068" width="13.25" customWidth="1"/>
    <col min="2305" max="2305" width="47.875" customWidth="1"/>
    <col min="2306" max="2306" width="9.125" customWidth="1"/>
    <col min="2307" max="2307" width="24.125" customWidth="1"/>
    <col min="2308" max="2308" width="9.125" customWidth="1"/>
    <col min="2309" max="2309" width="27.875" customWidth="1"/>
    <col min="2310" max="2311" width="9.125" customWidth="1"/>
    <col min="2312" max="2312" width="24.875" customWidth="1"/>
    <col min="2313" max="2315" width="46.75" customWidth="1"/>
    <col min="2316" max="2316" width="20.25" customWidth="1"/>
    <col min="2323" max="2323" width="12.75" customWidth="1"/>
    <col min="2324" max="2324" width="13.25" customWidth="1"/>
    <col min="2561" max="2561" width="47.875" customWidth="1"/>
    <col min="2562" max="2562" width="9.125" customWidth="1"/>
    <col min="2563" max="2563" width="24.125" customWidth="1"/>
    <col min="2564" max="2564" width="9.125" customWidth="1"/>
    <col min="2565" max="2565" width="27.875" customWidth="1"/>
    <col min="2566" max="2567" width="9.125" customWidth="1"/>
    <col min="2568" max="2568" width="24.875" customWidth="1"/>
    <col min="2569" max="2571" width="46.75" customWidth="1"/>
    <col min="2572" max="2572" width="20.25" customWidth="1"/>
    <col min="2579" max="2579" width="12.75" customWidth="1"/>
    <col min="2580" max="2580" width="13.25" customWidth="1"/>
    <col min="2817" max="2817" width="47.875" customWidth="1"/>
    <col min="2818" max="2818" width="9.125" customWidth="1"/>
    <col min="2819" max="2819" width="24.125" customWidth="1"/>
    <col min="2820" max="2820" width="9.125" customWidth="1"/>
    <col min="2821" max="2821" width="27.875" customWidth="1"/>
    <col min="2822" max="2823" width="9.125" customWidth="1"/>
    <col min="2824" max="2824" width="24.875" customWidth="1"/>
    <col min="2825" max="2827" width="46.75" customWidth="1"/>
    <col min="2828" max="2828" width="20.25" customWidth="1"/>
    <col min="2835" max="2835" width="12.75" customWidth="1"/>
    <col min="2836" max="2836" width="13.25" customWidth="1"/>
    <col min="3073" max="3073" width="47.875" customWidth="1"/>
    <col min="3074" max="3074" width="9.125" customWidth="1"/>
    <col min="3075" max="3075" width="24.125" customWidth="1"/>
    <col min="3076" max="3076" width="9.125" customWidth="1"/>
    <col min="3077" max="3077" width="27.875" customWidth="1"/>
    <col min="3078" max="3079" width="9.125" customWidth="1"/>
    <col min="3080" max="3080" width="24.875" customWidth="1"/>
    <col min="3081" max="3083" width="46.75" customWidth="1"/>
    <col min="3084" max="3084" width="20.25" customWidth="1"/>
    <col min="3091" max="3091" width="12.75" customWidth="1"/>
    <col min="3092" max="3092" width="13.25" customWidth="1"/>
    <col min="3329" max="3329" width="47.875" customWidth="1"/>
    <col min="3330" max="3330" width="9.125" customWidth="1"/>
    <col min="3331" max="3331" width="24.125" customWidth="1"/>
    <col min="3332" max="3332" width="9.125" customWidth="1"/>
    <col min="3333" max="3333" width="27.875" customWidth="1"/>
    <col min="3334" max="3335" width="9.125" customWidth="1"/>
    <col min="3336" max="3336" width="24.875" customWidth="1"/>
    <col min="3337" max="3339" width="46.75" customWidth="1"/>
    <col min="3340" max="3340" width="20.25" customWidth="1"/>
    <col min="3347" max="3347" width="12.75" customWidth="1"/>
    <col min="3348" max="3348" width="13.25" customWidth="1"/>
    <col min="3585" max="3585" width="47.875" customWidth="1"/>
    <col min="3586" max="3586" width="9.125" customWidth="1"/>
    <col min="3587" max="3587" width="24.125" customWidth="1"/>
    <col min="3588" max="3588" width="9.125" customWidth="1"/>
    <col min="3589" max="3589" width="27.875" customWidth="1"/>
    <col min="3590" max="3591" width="9.125" customWidth="1"/>
    <col min="3592" max="3592" width="24.875" customWidth="1"/>
    <col min="3593" max="3595" width="46.75" customWidth="1"/>
    <col min="3596" max="3596" width="20.25" customWidth="1"/>
    <col min="3603" max="3603" width="12.75" customWidth="1"/>
    <col min="3604" max="3604" width="13.25" customWidth="1"/>
    <col min="3841" max="3841" width="47.875" customWidth="1"/>
    <col min="3842" max="3842" width="9.125" customWidth="1"/>
    <col min="3843" max="3843" width="24.125" customWidth="1"/>
    <col min="3844" max="3844" width="9.125" customWidth="1"/>
    <col min="3845" max="3845" width="27.875" customWidth="1"/>
    <col min="3846" max="3847" width="9.125" customWidth="1"/>
    <col min="3848" max="3848" width="24.875" customWidth="1"/>
    <col min="3849" max="3851" width="46.75" customWidth="1"/>
    <col min="3852" max="3852" width="20.25" customWidth="1"/>
    <col min="3859" max="3859" width="12.75" customWidth="1"/>
    <col min="3860" max="3860" width="13.25" customWidth="1"/>
    <col min="4097" max="4097" width="47.875" customWidth="1"/>
    <col min="4098" max="4098" width="9.125" customWidth="1"/>
    <col min="4099" max="4099" width="24.125" customWidth="1"/>
    <col min="4100" max="4100" width="9.125" customWidth="1"/>
    <col min="4101" max="4101" width="27.875" customWidth="1"/>
    <col min="4102" max="4103" width="9.125" customWidth="1"/>
    <col min="4104" max="4104" width="24.875" customWidth="1"/>
    <col min="4105" max="4107" width="46.75" customWidth="1"/>
    <col min="4108" max="4108" width="20.25" customWidth="1"/>
    <col min="4115" max="4115" width="12.75" customWidth="1"/>
    <col min="4116" max="4116" width="13.25" customWidth="1"/>
    <col min="4353" max="4353" width="47.875" customWidth="1"/>
    <col min="4354" max="4354" width="9.125" customWidth="1"/>
    <col min="4355" max="4355" width="24.125" customWidth="1"/>
    <col min="4356" max="4356" width="9.125" customWidth="1"/>
    <col min="4357" max="4357" width="27.875" customWidth="1"/>
    <col min="4358" max="4359" width="9.125" customWidth="1"/>
    <col min="4360" max="4360" width="24.875" customWidth="1"/>
    <col min="4361" max="4363" width="46.75" customWidth="1"/>
    <col min="4364" max="4364" width="20.25" customWidth="1"/>
    <col min="4371" max="4371" width="12.75" customWidth="1"/>
    <col min="4372" max="4372" width="13.25" customWidth="1"/>
    <col min="4609" max="4609" width="47.875" customWidth="1"/>
    <col min="4610" max="4610" width="9.125" customWidth="1"/>
    <col min="4611" max="4611" width="24.125" customWidth="1"/>
    <col min="4612" max="4612" width="9.125" customWidth="1"/>
    <col min="4613" max="4613" width="27.875" customWidth="1"/>
    <col min="4614" max="4615" width="9.125" customWidth="1"/>
    <col min="4616" max="4616" width="24.875" customWidth="1"/>
    <col min="4617" max="4619" width="46.75" customWidth="1"/>
    <col min="4620" max="4620" width="20.25" customWidth="1"/>
    <col min="4627" max="4627" width="12.75" customWidth="1"/>
    <col min="4628" max="4628" width="13.25" customWidth="1"/>
    <col min="4865" max="4865" width="47.875" customWidth="1"/>
    <col min="4866" max="4866" width="9.125" customWidth="1"/>
    <col min="4867" max="4867" width="24.125" customWidth="1"/>
    <col min="4868" max="4868" width="9.125" customWidth="1"/>
    <col min="4869" max="4869" width="27.875" customWidth="1"/>
    <col min="4870" max="4871" width="9.125" customWidth="1"/>
    <col min="4872" max="4872" width="24.875" customWidth="1"/>
    <col min="4873" max="4875" width="46.75" customWidth="1"/>
    <col min="4876" max="4876" width="20.25" customWidth="1"/>
    <col min="4883" max="4883" width="12.75" customWidth="1"/>
    <col min="4884" max="4884" width="13.25" customWidth="1"/>
    <col min="5121" max="5121" width="47.875" customWidth="1"/>
    <col min="5122" max="5122" width="9.125" customWidth="1"/>
    <col min="5123" max="5123" width="24.125" customWidth="1"/>
    <col min="5124" max="5124" width="9.125" customWidth="1"/>
    <col min="5125" max="5125" width="27.875" customWidth="1"/>
    <col min="5126" max="5127" width="9.125" customWidth="1"/>
    <col min="5128" max="5128" width="24.875" customWidth="1"/>
    <col min="5129" max="5131" width="46.75" customWidth="1"/>
    <col min="5132" max="5132" width="20.25" customWidth="1"/>
    <col min="5139" max="5139" width="12.75" customWidth="1"/>
    <col min="5140" max="5140" width="13.25" customWidth="1"/>
    <col min="5377" max="5377" width="47.875" customWidth="1"/>
    <col min="5378" max="5378" width="9.125" customWidth="1"/>
    <col min="5379" max="5379" width="24.125" customWidth="1"/>
    <col min="5380" max="5380" width="9.125" customWidth="1"/>
    <col min="5381" max="5381" width="27.875" customWidth="1"/>
    <col min="5382" max="5383" width="9.125" customWidth="1"/>
    <col min="5384" max="5384" width="24.875" customWidth="1"/>
    <col min="5385" max="5387" width="46.75" customWidth="1"/>
    <col min="5388" max="5388" width="20.25" customWidth="1"/>
    <col min="5395" max="5395" width="12.75" customWidth="1"/>
    <col min="5396" max="5396" width="13.25" customWidth="1"/>
    <col min="5633" max="5633" width="47.875" customWidth="1"/>
    <col min="5634" max="5634" width="9.125" customWidth="1"/>
    <col min="5635" max="5635" width="24.125" customWidth="1"/>
    <col min="5636" max="5636" width="9.125" customWidth="1"/>
    <col min="5637" max="5637" width="27.875" customWidth="1"/>
    <col min="5638" max="5639" width="9.125" customWidth="1"/>
    <col min="5640" max="5640" width="24.875" customWidth="1"/>
    <col min="5641" max="5643" width="46.75" customWidth="1"/>
    <col min="5644" max="5644" width="20.25" customWidth="1"/>
    <col min="5651" max="5651" width="12.75" customWidth="1"/>
    <col min="5652" max="5652" width="13.25" customWidth="1"/>
    <col min="5889" max="5889" width="47.875" customWidth="1"/>
    <col min="5890" max="5890" width="9.125" customWidth="1"/>
    <col min="5891" max="5891" width="24.125" customWidth="1"/>
    <col min="5892" max="5892" width="9.125" customWidth="1"/>
    <col min="5893" max="5893" width="27.875" customWidth="1"/>
    <col min="5894" max="5895" width="9.125" customWidth="1"/>
    <col min="5896" max="5896" width="24.875" customWidth="1"/>
    <col min="5897" max="5899" width="46.75" customWidth="1"/>
    <col min="5900" max="5900" width="20.25" customWidth="1"/>
    <col min="5907" max="5907" width="12.75" customWidth="1"/>
    <col min="5908" max="5908" width="13.25" customWidth="1"/>
    <col min="6145" max="6145" width="47.875" customWidth="1"/>
    <col min="6146" max="6146" width="9.125" customWidth="1"/>
    <col min="6147" max="6147" width="24.125" customWidth="1"/>
    <col min="6148" max="6148" width="9.125" customWidth="1"/>
    <col min="6149" max="6149" width="27.875" customWidth="1"/>
    <col min="6150" max="6151" width="9.125" customWidth="1"/>
    <col min="6152" max="6152" width="24.875" customWidth="1"/>
    <col min="6153" max="6155" width="46.75" customWidth="1"/>
    <col min="6156" max="6156" width="20.25" customWidth="1"/>
    <col min="6163" max="6163" width="12.75" customWidth="1"/>
    <col min="6164" max="6164" width="13.25" customWidth="1"/>
    <col min="6401" max="6401" width="47.875" customWidth="1"/>
    <col min="6402" max="6402" width="9.125" customWidth="1"/>
    <col min="6403" max="6403" width="24.125" customWidth="1"/>
    <col min="6404" max="6404" width="9.125" customWidth="1"/>
    <col min="6405" max="6405" width="27.875" customWidth="1"/>
    <col min="6406" max="6407" width="9.125" customWidth="1"/>
    <col min="6408" max="6408" width="24.875" customWidth="1"/>
    <col min="6409" max="6411" width="46.75" customWidth="1"/>
    <col min="6412" max="6412" width="20.25" customWidth="1"/>
    <col min="6419" max="6419" width="12.75" customWidth="1"/>
    <col min="6420" max="6420" width="13.25" customWidth="1"/>
    <col min="6657" max="6657" width="47.875" customWidth="1"/>
    <col min="6658" max="6658" width="9.125" customWidth="1"/>
    <col min="6659" max="6659" width="24.125" customWidth="1"/>
    <col min="6660" max="6660" width="9.125" customWidth="1"/>
    <col min="6661" max="6661" width="27.875" customWidth="1"/>
    <col min="6662" max="6663" width="9.125" customWidth="1"/>
    <col min="6664" max="6664" width="24.875" customWidth="1"/>
    <col min="6665" max="6667" width="46.75" customWidth="1"/>
    <col min="6668" max="6668" width="20.25" customWidth="1"/>
    <col min="6675" max="6675" width="12.75" customWidth="1"/>
    <col min="6676" max="6676" width="13.25" customWidth="1"/>
    <col min="6913" max="6913" width="47.875" customWidth="1"/>
    <col min="6914" max="6914" width="9.125" customWidth="1"/>
    <col min="6915" max="6915" width="24.125" customWidth="1"/>
    <col min="6916" max="6916" width="9.125" customWidth="1"/>
    <col min="6917" max="6917" width="27.875" customWidth="1"/>
    <col min="6918" max="6919" width="9.125" customWidth="1"/>
    <col min="6920" max="6920" width="24.875" customWidth="1"/>
    <col min="6921" max="6923" width="46.75" customWidth="1"/>
    <col min="6924" max="6924" width="20.25" customWidth="1"/>
    <col min="6931" max="6931" width="12.75" customWidth="1"/>
    <col min="6932" max="6932" width="13.25" customWidth="1"/>
    <col min="7169" max="7169" width="47.875" customWidth="1"/>
    <col min="7170" max="7170" width="9.125" customWidth="1"/>
    <col min="7171" max="7171" width="24.125" customWidth="1"/>
    <col min="7172" max="7172" width="9.125" customWidth="1"/>
    <col min="7173" max="7173" width="27.875" customWidth="1"/>
    <col min="7174" max="7175" width="9.125" customWidth="1"/>
    <col min="7176" max="7176" width="24.875" customWidth="1"/>
    <col min="7177" max="7179" width="46.75" customWidth="1"/>
    <col min="7180" max="7180" width="20.25" customWidth="1"/>
    <col min="7187" max="7187" width="12.75" customWidth="1"/>
    <col min="7188" max="7188" width="13.25" customWidth="1"/>
    <col min="7425" max="7425" width="47.875" customWidth="1"/>
    <col min="7426" max="7426" width="9.125" customWidth="1"/>
    <col min="7427" max="7427" width="24.125" customWidth="1"/>
    <col min="7428" max="7428" width="9.125" customWidth="1"/>
    <col min="7429" max="7429" width="27.875" customWidth="1"/>
    <col min="7430" max="7431" width="9.125" customWidth="1"/>
    <col min="7432" max="7432" width="24.875" customWidth="1"/>
    <col min="7433" max="7435" width="46.75" customWidth="1"/>
    <col min="7436" max="7436" width="20.25" customWidth="1"/>
    <col min="7443" max="7443" width="12.75" customWidth="1"/>
    <col min="7444" max="7444" width="13.25" customWidth="1"/>
    <col min="7681" max="7681" width="47.875" customWidth="1"/>
    <col min="7682" max="7682" width="9.125" customWidth="1"/>
    <col min="7683" max="7683" width="24.125" customWidth="1"/>
    <col min="7684" max="7684" width="9.125" customWidth="1"/>
    <col min="7685" max="7685" width="27.875" customWidth="1"/>
    <col min="7686" max="7687" width="9.125" customWidth="1"/>
    <col min="7688" max="7688" width="24.875" customWidth="1"/>
    <col min="7689" max="7691" width="46.75" customWidth="1"/>
    <col min="7692" max="7692" width="20.25" customWidth="1"/>
    <col min="7699" max="7699" width="12.75" customWidth="1"/>
    <col min="7700" max="7700" width="13.25" customWidth="1"/>
    <col min="7937" max="7937" width="47.875" customWidth="1"/>
    <col min="7938" max="7938" width="9.125" customWidth="1"/>
    <col min="7939" max="7939" width="24.125" customWidth="1"/>
    <col min="7940" max="7940" width="9.125" customWidth="1"/>
    <col min="7941" max="7941" width="27.875" customWidth="1"/>
    <col min="7942" max="7943" width="9.125" customWidth="1"/>
    <col min="7944" max="7944" width="24.875" customWidth="1"/>
    <col min="7945" max="7947" width="46.75" customWidth="1"/>
    <col min="7948" max="7948" width="20.25" customWidth="1"/>
    <col min="7955" max="7955" width="12.75" customWidth="1"/>
    <col min="7956" max="7956" width="13.25" customWidth="1"/>
    <col min="8193" max="8193" width="47.875" customWidth="1"/>
    <col min="8194" max="8194" width="9.125" customWidth="1"/>
    <col min="8195" max="8195" width="24.125" customWidth="1"/>
    <col min="8196" max="8196" width="9.125" customWidth="1"/>
    <col min="8197" max="8197" width="27.875" customWidth="1"/>
    <col min="8198" max="8199" width="9.125" customWidth="1"/>
    <col min="8200" max="8200" width="24.875" customWidth="1"/>
    <col min="8201" max="8203" width="46.75" customWidth="1"/>
    <col min="8204" max="8204" width="20.25" customWidth="1"/>
    <col min="8211" max="8211" width="12.75" customWidth="1"/>
    <col min="8212" max="8212" width="13.25" customWidth="1"/>
    <col min="8449" max="8449" width="47.875" customWidth="1"/>
    <col min="8450" max="8450" width="9.125" customWidth="1"/>
    <col min="8451" max="8451" width="24.125" customWidth="1"/>
    <col min="8452" max="8452" width="9.125" customWidth="1"/>
    <col min="8453" max="8453" width="27.875" customWidth="1"/>
    <col min="8454" max="8455" width="9.125" customWidth="1"/>
    <col min="8456" max="8456" width="24.875" customWidth="1"/>
    <col min="8457" max="8459" width="46.75" customWidth="1"/>
    <col min="8460" max="8460" width="20.25" customWidth="1"/>
    <col min="8467" max="8467" width="12.75" customWidth="1"/>
    <col min="8468" max="8468" width="13.25" customWidth="1"/>
    <col min="8705" max="8705" width="47.875" customWidth="1"/>
    <col min="8706" max="8706" width="9.125" customWidth="1"/>
    <col min="8707" max="8707" width="24.125" customWidth="1"/>
    <col min="8708" max="8708" width="9.125" customWidth="1"/>
    <col min="8709" max="8709" width="27.875" customWidth="1"/>
    <col min="8710" max="8711" width="9.125" customWidth="1"/>
    <col min="8712" max="8712" width="24.875" customWidth="1"/>
    <col min="8713" max="8715" width="46.75" customWidth="1"/>
    <col min="8716" max="8716" width="20.25" customWidth="1"/>
    <col min="8723" max="8723" width="12.75" customWidth="1"/>
    <col min="8724" max="8724" width="13.25" customWidth="1"/>
    <col min="8961" max="8961" width="47.875" customWidth="1"/>
    <col min="8962" max="8962" width="9.125" customWidth="1"/>
    <col min="8963" max="8963" width="24.125" customWidth="1"/>
    <col min="8964" max="8964" width="9.125" customWidth="1"/>
    <col min="8965" max="8965" width="27.875" customWidth="1"/>
    <col min="8966" max="8967" width="9.125" customWidth="1"/>
    <col min="8968" max="8968" width="24.875" customWidth="1"/>
    <col min="8969" max="8971" width="46.75" customWidth="1"/>
    <col min="8972" max="8972" width="20.25" customWidth="1"/>
    <col min="8979" max="8979" width="12.75" customWidth="1"/>
    <col min="8980" max="8980" width="13.25" customWidth="1"/>
    <col min="9217" max="9217" width="47.875" customWidth="1"/>
    <col min="9218" max="9218" width="9.125" customWidth="1"/>
    <col min="9219" max="9219" width="24.125" customWidth="1"/>
    <col min="9220" max="9220" width="9.125" customWidth="1"/>
    <col min="9221" max="9221" width="27.875" customWidth="1"/>
    <col min="9222" max="9223" width="9.125" customWidth="1"/>
    <col min="9224" max="9224" width="24.875" customWidth="1"/>
    <col min="9225" max="9227" width="46.75" customWidth="1"/>
    <col min="9228" max="9228" width="20.25" customWidth="1"/>
    <col min="9235" max="9235" width="12.75" customWidth="1"/>
    <col min="9236" max="9236" width="13.25" customWidth="1"/>
    <col min="9473" max="9473" width="47.875" customWidth="1"/>
    <col min="9474" max="9474" width="9.125" customWidth="1"/>
    <col min="9475" max="9475" width="24.125" customWidth="1"/>
    <col min="9476" max="9476" width="9.125" customWidth="1"/>
    <col min="9477" max="9477" width="27.875" customWidth="1"/>
    <col min="9478" max="9479" width="9.125" customWidth="1"/>
    <col min="9480" max="9480" width="24.875" customWidth="1"/>
    <col min="9481" max="9483" width="46.75" customWidth="1"/>
    <col min="9484" max="9484" width="20.25" customWidth="1"/>
    <col min="9491" max="9491" width="12.75" customWidth="1"/>
    <col min="9492" max="9492" width="13.25" customWidth="1"/>
    <col min="9729" max="9729" width="47.875" customWidth="1"/>
    <col min="9730" max="9730" width="9.125" customWidth="1"/>
    <col min="9731" max="9731" width="24.125" customWidth="1"/>
    <col min="9732" max="9732" width="9.125" customWidth="1"/>
    <col min="9733" max="9733" width="27.875" customWidth="1"/>
    <col min="9734" max="9735" width="9.125" customWidth="1"/>
    <col min="9736" max="9736" width="24.875" customWidth="1"/>
    <col min="9737" max="9739" width="46.75" customWidth="1"/>
    <col min="9740" max="9740" width="20.25" customWidth="1"/>
    <col min="9747" max="9747" width="12.75" customWidth="1"/>
    <col min="9748" max="9748" width="13.25" customWidth="1"/>
    <col min="9985" max="9985" width="47.875" customWidth="1"/>
    <col min="9986" max="9986" width="9.125" customWidth="1"/>
    <col min="9987" max="9987" width="24.125" customWidth="1"/>
    <col min="9988" max="9988" width="9.125" customWidth="1"/>
    <col min="9989" max="9989" width="27.875" customWidth="1"/>
    <col min="9990" max="9991" width="9.125" customWidth="1"/>
    <col min="9992" max="9992" width="24.875" customWidth="1"/>
    <col min="9993" max="9995" width="46.75" customWidth="1"/>
    <col min="9996" max="9996" width="20.25" customWidth="1"/>
    <col min="10003" max="10003" width="12.75" customWidth="1"/>
    <col min="10004" max="10004" width="13.25" customWidth="1"/>
    <col min="10241" max="10241" width="47.875" customWidth="1"/>
    <col min="10242" max="10242" width="9.125" customWidth="1"/>
    <col min="10243" max="10243" width="24.125" customWidth="1"/>
    <col min="10244" max="10244" width="9.125" customWidth="1"/>
    <col min="10245" max="10245" width="27.875" customWidth="1"/>
    <col min="10246" max="10247" width="9.125" customWidth="1"/>
    <col min="10248" max="10248" width="24.875" customWidth="1"/>
    <col min="10249" max="10251" width="46.75" customWidth="1"/>
    <col min="10252" max="10252" width="20.25" customWidth="1"/>
    <col min="10259" max="10259" width="12.75" customWidth="1"/>
    <col min="10260" max="10260" width="13.25" customWidth="1"/>
    <col min="10497" max="10497" width="47.875" customWidth="1"/>
    <col min="10498" max="10498" width="9.125" customWidth="1"/>
    <col min="10499" max="10499" width="24.125" customWidth="1"/>
    <col min="10500" max="10500" width="9.125" customWidth="1"/>
    <col min="10501" max="10501" width="27.875" customWidth="1"/>
    <col min="10502" max="10503" width="9.125" customWidth="1"/>
    <col min="10504" max="10504" width="24.875" customWidth="1"/>
    <col min="10505" max="10507" width="46.75" customWidth="1"/>
    <col min="10508" max="10508" width="20.25" customWidth="1"/>
    <col min="10515" max="10515" width="12.75" customWidth="1"/>
    <col min="10516" max="10516" width="13.25" customWidth="1"/>
    <col min="10753" max="10753" width="47.875" customWidth="1"/>
    <col min="10754" max="10754" width="9.125" customWidth="1"/>
    <col min="10755" max="10755" width="24.125" customWidth="1"/>
    <col min="10756" max="10756" width="9.125" customWidth="1"/>
    <col min="10757" max="10757" width="27.875" customWidth="1"/>
    <col min="10758" max="10759" width="9.125" customWidth="1"/>
    <col min="10760" max="10760" width="24.875" customWidth="1"/>
    <col min="10761" max="10763" width="46.75" customWidth="1"/>
    <col min="10764" max="10764" width="20.25" customWidth="1"/>
    <col min="10771" max="10771" width="12.75" customWidth="1"/>
    <col min="10772" max="10772" width="13.25" customWidth="1"/>
    <col min="11009" max="11009" width="47.875" customWidth="1"/>
    <col min="11010" max="11010" width="9.125" customWidth="1"/>
    <col min="11011" max="11011" width="24.125" customWidth="1"/>
    <col min="11012" max="11012" width="9.125" customWidth="1"/>
    <col min="11013" max="11013" width="27.875" customWidth="1"/>
    <col min="11014" max="11015" width="9.125" customWidth="1"/>
    <col min="11016" max="11016" width="24.875" customWidth="1"/>
    <col min="11017" max="11019" width="46.75" customWidth="1"/>
    <col min="11020" max="11020" width="20.25" customWidth="1"/>
    <col min="11027" max="11027" width="12.75" customWidth="1"/>
    <col min="11028" max="11028" width="13.25" customWidth="1"/>
    <col min="11265" max="11265" width="47.875" customWidth="1"/>
    <col min="11266" max="11266" width="9.125" customWidth="1"/>
    <col min="11267" max="11267" width="24.125" customWidth="1"/>
    <col min="11268" max="11268" width="9.125" customWidth="1"/>
    <col min="11269" max="11269" width="27.875" customWidth="1"/>
    <col min="11270" max="11271" width="9.125" customWidth="1"/>
    <col min="11272" max="11272" width="24.875" customWidth="1"/>
    <col min="11273" max="11275" width="46.75" customWidth="1"/>
    <col min="11276" max="11276" width="20.25" customWidth="1"/>
    <col min="11283" max="11283" width="12.75" customWidth="1"/>
    <col min="11284" max="11284" width="13.25" customWidth="1"/>
    <col min="11521" max="11521" width="47.875" customWidth="1"/>
    <col min="11522" max="11522" width="9.125" customWidth="1"/>
    <col min="11523" max="11523" width="24.125" customWidth="1"/>
    <col min="11524" max="11524" width="9.125" customWidth="1"/>
    <col min="11525" max="11525" width="27.875" customWidth="1"/>
    <col min="11526" max="11527" width="9.125" customWidth="1"/>
    <col min="11528" max="11528" width="24.875" customWidth="1"/>
    <col min="11529" max="11531" width="46.75" customWidth="1"/>
    <col min="11532" max="11532" width="20.25" customWidth="1"/>
    <col min="11539" max="11539" width="12.75" customWidth="1"/>
    <col min="11540" max="11540" width="13.25" customWidth="1"/>
    <col min="11777" max="11777" width="47.875" customWidth="1"/>
    <col min="11778" max="11778" width="9.125" customWidth="1"/>
    <col min="11779" max="11779" width="24.125" customWidth="1"/>
    <col min="11780" max="11780" width="9.125" customWidth="1"/>
    <col min="11781" max="11781" width="27.875" customWidth="1"/>
    <col min="11782" max="11783" width="9.125" customWidth="1"/>
    <col min="11784" max="11784" width="24.875" customWidth="1"/>
    <col min="11785" max="11787" width="46.75" customWidth="1"/>
    <col min="11788" max="11788" width="20.25" customWidth="1"/>
    <col min="11795" max="11795" width="12.75" customWidth="1"/>
    <col min="11796" max="11796" width="13.25" customWidth="1"/>
    <col min="12033" max="12033" width="47.875" customWidth="1"/>
    <col min="12034" max="12034" width="9.125" customWidth="1"/>
    <col min="12035" max="12035" width="24.125" customWidth="1"/>
    <col min="12036" max="12036" width="9.125" customWidth="1"/>
    <col min="12037" max="12037" width="27.875" customWidth="1"/>
    <col min="12038" max="12039" width="9.125" customWidth="1"/>
    <col min="12040" max="12040" width="24.875" customWidth="1"/>
    <col min="12041" max="12043" width="46.75" customWidth="1"/>
    <col min="12044" max="12044" width="20.25" customWidth="1"/>
    <col min="12051" max="12051" width="12.75" customWidth="1"/>
    <col min="12052" max="12052" width="13.25" customWidth="1"/>
    <col min="12289" max="12289" width="47.875" customWidth="1"/>
    <col min="12290" max="12290" width="9.125" customWidth="1"/>
    <col min="12291" max="12291" width="24.125" customWidth="1"/>
    <col min="12292" max="12292" width="9.125" customWidth="1"/>
    <col min="12293" max="12293" width="27.875" customWidth="1"/>
    <col min="12294" max="12295" width="9.125" customWidth="1"/>
    <col min="12296" max="12296" width="24.875" customWidth="1"/>
    <col min="12297" max="12299" width="46.75" customWidth="1"/>
    <col min="12300" max="12300" width="20.25" customWidth="1"/>
    <col min="12307" max="12307" width="12.75" customWidth="1"/>
    <col min="12308" max="12308" width="13.25" customWidth="1"/>
    <col min="12545" max="12545" width="47.875" customWidth="1"/>
    <col min="12546" max="12546" width="9.125" customWidth="1"/>
    <col min="12547" max="12547" width="24.125" customWidth="1"/>
    <col min="12548" max="12548" width="9.125" customWidth="1"/>
    <col min="12549" max="12549" width="27.875" customWidth="1"/>
    <col min="12550" max="12551" width="9.125" customWidth="1"/>
    <col min="12552" max="12552" width="24.875" customWidth="1"/>
    <col min="12553" max="12555" width="46.75" customWidth="1"/>
    <col min="12556" max="12556" width="20.25" customWidth="1"/>
    <col min="12563" max="12563" width="12.75" customWidth="1"/>
    <col min="12564" max="12564" width="13.25" customWidth="1"/>
    <col min="12801" max="12801" width="47.875" customWidth="1"/>
    <col min="12802" max="12802" width="9.125" customWidth="1"/>
    <col min="12803" max="12803" width="24.125" customWidth="1"/>
    <col min="12804" max="12804" width="9.125" customWidth="1"/>
    <col min="12805" max="12805" width="27.875" customWidth="1"/>
    <col min="12806" max="12807" width="9.125" customWidth="1"/>
    <col min="12808" max="12808" width="24.875" customWidth="1"/>
    <col min="12809" max="12811" width="46.75" customWidth="1"/>
    <col min="12812" max="12812" width="20.25" customWidth="1"/>
    <col min="12819" max="12819" width="12.75" customWidth="1"/>
    <col min="12820" max="12820" width="13.25" customWidth="1"/>
    <col min="13057" max="13057" width="47.875" customWidth="1"/>
    <col min="13058" max="13058" width="9.125" customWidth="1"/>
    <col min="13059" max="13059" width="24.125" customWidth="1"/>
    <col min="13060" max="13060" width="9.125" customWidth="1"/>
    <col min="13061" max="13061" width="27.875" customWidth="1"/>
    <col min="13062" max="13063" width="9.125" customWidth="1"/>
    <col min="13064" max="13064" width="24.875" customWidth="1"/>
    <col min="13065" max="13067" width="46.75" customWidth="1"/>
    <col min="13068" max="13068" width="20.25" customWidth="1"/>
    <col min="13075" max="13075" width="12.75" customWidth="1"/>
    <col min="13076" max="13076" width="13.25" customWidth="1"/>
    <col min="13313" max="13313" width="47.875" customWidth="1"/>
    <col min="13314" max="13314" width="9.125" customWidth="1"/>
    <col min="13315" max="13315" width="24.125" customWidth="1"/>
    <col min="13316" max="13316" width="9.125" customWidth="1"/>
    <col min="13317" max="13317" width="27.875" customWidth="1"/>
    <col min="13318" max="13319" width="9.125" customWidth="1"/>
    <col min="13320" max="13320" width="24.875" customWidth="1"/>
    <col min="13321" max="13323" width="46.75" customWidth="1"/>
    <col min="13324" max="13324" width="20.25" customWidth="1"/>
    <col min="13331" max="13331" width="12.75" customWidth="1"/>
    <col min="13332" max="13332" width="13.25" customWidth="1"/>
    <col min="13569" max="13569" width="47.875" customWidth="1"/>
    <col min="13570" max="13570" width="9.125" customWidth="1"/>
    <col min="13571" max="13571" width="24.125" customWidth="1"/>
    <col min="13572" max="13572" width="9.125" customWidth="1"/>
    <col min="13573" max="13573" width="27.875" customWidth="1"/>
    <col min="13574" max="13575" width="9.125" customWidth="1"/>
    <col min="13576" max="13576" width="24.875" customWidth="1"/>
    <col min="13577" max="13579" width="46.75" customWidth="1"/>
    <col min="13580" max="13580" width="20.25" customWidth="1"/>
    <col min="13587" max="13587" width="12.75" customWidth="1"/>
    <col min="13588" max="13588" width="13.25" customWidth="1"/>
    <col min="13825" max="13825" width="47.875" customWidth="1"/>
    <col min="13826" max="13826" width="9.125" customWidth="1"/>
    <col min="13827" max="13827" width="24.125" customWidth="1"/>
    <col min="13828" max="13828" width="9.125" customWidth="1"/>
    <col min="13829" max="13829" width="27.875" customWidth="1"/>
    <col min="13830" max="13831" width="9.125" customWidth="1"/>
    <col min="13832" max="13832" width="24.875" customWidth="1"/>
    <col min="13833" max="13835" width="46.75" customWidth="1"/>
    <col min="13836" max="13836" width="20.25" customWidth="1"/>
    <col min="13843" max="13843" width="12.75" customWidth="1"/>
    <col min="13844" max="13844" width="13.25" customWidth="1"/>
    <col min="14081" max="14081" width="47.875" customWidth="1"/>
    <col min="14082" max="14082" width="9.125" customWidth="1"/>
    <col min="14083" max="14083" width="24.125" customWidth="1"/>
    <col min="14084" max="14084" width="9.125" customWidth="1"/>
    <col min="14085" max="14085" width="27.875" customWidth="1"/>
    <col min="14086" max="14087" width="9.125" customWidth="1"/>
    <col min="14088" max="14088" width="24.875" customWidth="1"/>
    <col min="14089" max="14091" width="46.75" customWidth="1"/>
    <col min="14092" max="14092" width="20.25" customWidth="1"/>
    <col min="14099" max="14099" width="12.75" customWidth="1"/>
    <col min="14100" max="14100" width="13.25" customWidth="1"/>
    <col min="14337" max="14337" width="47.875" customWidth="1"/>
    <col min="14338" max="14338" width="9.125" customWidth="1"/>
    <col min="14339" max="14339" width="24.125" customWidth="1"/>
    <col min="14340" max="14340" width="9.125" customWidth="1"/>
    <col min="14341" max="14341" width="27.875" customWidth="1"/>
    <col min="14342" max="14343" width="9.125" customWidth="1"/>
    <col min="14344" max="14344" width="24.875" customWidth="1"/>
    <col min="14345" max="14347" width="46.75" customWidth="1"/>
    <col min="14348" max="14348" width="20.25" customWidth="1"/>
    <col min="14355" max="14355" width="12.75" customWidth="1"/>
    <col min="14356" max="14356" width="13.25" customWidth="1"/>
    <col min="14593" max="14593" width="47.875" customWidth="1"/>
    <col min="14594" max="14594" width="9.125" customWidth="1"/>
    <col min="14595" max="14595" width="24.125" customWidth="1"/>
    <col min="14596" max="14596" width="9.125" customWidth="1"/>
    <col min="14597" max="14597" width="27.875" customWidth="1"/>
    <col min="14598" max="14599" width="9.125" customWidth="1"/>
    <col min="14600" max="14600" width="24.875" customWidth="1"/>
    <col min="14601" max="14603" width="46.75" customWidth="1"/>
    <col min="14604" max="14604" width="20.25" customWidth="1"/>
    <col min="14611" max="14611" width="12.75" customWidth="1"/>
    <col min="14612" max="14612" width="13.25" customWidth="1"/>
    <col min="14849" max="14849" width="47.875" customWidth="1"/>
    <col min="14850" max="14850" width="9.125" customWidth="1"/>
    <col min="14851" max="14851" width="24.125" customWidth="1"/>
    <col min="14852" max="14852" width="9.125" customWidth="1"/>
    <col min="14853" max="14853" width="27.875" customWidth="1"/>
    <col min="14854" max="14855" width="9.125" customWidth="1"/>
    <col min="14856" max="14856" width="24.875" customWidth="1"/>
    <col min="14857" max="14859" width="46.75" customWidth="1"/>
    <col min="14860" max="14860" width="20.25" customWidth="1"/>
    <col min="14867" max="14867" width="12.75" customWidth="1"/>
    <col min="14868" max="14868" width="13.25" customWidth="1"/>
    <col min="15105" max="15105" width="47.875" customWidth="1"/>
    <col min="15106" max="15106" width="9.125" customWidth="1"/>
    <col min="15107" max="15107" width="24.125" customWidth="1"/>
    <col min="15108" max="15108" width="9.125" customWidth="1"/>
    <col min="15109" max="15109" width="27.875" customWidth="1"/>
    <col min="15110" max="15111" width="9.125" customWidth="1"/>
    <col min="15112" max="15112" width="24.875" customWidth="1"/>
    <col min="15113" max="15115" width="46.75" customWidth="1"/>
    <col min="15116" max="15116" width="20.25" customWidth="1"/>
    <col min="15123" max="15123" width="12.75" customWidth="1"/>
    <col min="15124" max="15124" width="13.25" customWidth="1"/>
    <col min="15361" max="15361" width="47.875" customWidth="1"/>
    <col min="15362" max="15362" width="9.125" customWidth="1"/>
    <col min="15363" max="15363" width="24.125" customWidth="1"/>
    <col min="15364" max="15364" width="9.125" customWidth="1"/>
    <col min="15365" max="15365" width="27.875" customWidth="1"/>
    <col min="15366" max="15367" width="9.125" customWidth="1"/>
    <col min="15368" max="15368" width="24.875" customWidth="1"/>
    <col min="15369" max="15371" width="46.75" customWidth="1"/>
    <col min="15372" max="15372" width="20.25" customWidth="1"/>
    <col min="15379" max="15379" width="12.75" customWidth="1"/>
    <col min="15380" max="15380" width="13.25" customWidth="1"/>
    <col min="15617" max="15617" width="47.875" customWidth="1"/>
    <col min="15618" max="15618" width="9.125" customWidth="1"/>
    <col min="15619" max="15619" width="24.125" customWidth="1"/>
    <col min="15620" max="15620" width="9.125" customWidth="1"/>
    <col min="15621" max="15621" width="27.875" customWidth="1"/>
    <col min="15622" max="15623" width="9.125" customWidth="1"/>
    <col min="15624" max="15624" width="24.875" customWidth="1"/>
    <col min="15625" max="15627" width="46.75" customWidth="1"/>
    <col min="15628" max="15628" width="20.25" customWidth="1"/>
    <col min="15635" max="15635" width="12.75" customWidth="1"/>
    <col min="15636" max="15636" width="13.25" customWidth="1"/>
    <col min="15873" max="15873" width="47.875" customWidth="1"/>
    <col min="15874" max="15874" width="9.125" customWidth="1"/>
    <col min="15875" max="15875" width="24.125" customWidth="1"/>
    <col min="15876" max="15876" width="9.125" customWidth="1"/>
    <col min="15877" max="15877" width="27.875" customWidth="1"/>
    <col min="15878" max="15879" width="9.125" customWidth="1"/>
    <col min="15880" max="15880" width="24.875" customWidth="1"/>
    <col min="15881" max="15883" width="46.75" customWidth="1"/>
    <col min="15884" max="15884" width="20.25" customWidth="1"/>
    <col min="15891" max="15891" width="12.75" customWidth="1"/>
    <col min="15892" max="15892" width="13.25" customWidth="1"/>
    <col min="16129" max="16129" width="47.875" customWidth="1"/>
    <col min="16130" max="16130" width="9.125" customWidth="1"/>
    <col min="16131" max="16131" width="24.125" customWidth="1"/>
    <col min="16132" max="16132" width="9.125" customWidth="1"/>
    <col min="16133" max="16133" width="27.875" customWidth="1"/>
    <col min="16134" max="16135" width="9.125" customWidth="1"/>
    <col min="16136" max="16136" width="24.875" customWidth="1"/>
    <col min="16137" max="16139" width="46.75" customWidth="1"/>
    <col min="16140" max="16140" width="20.25" customWidth="1"/>
    <col min="16147" max="16147" width="12.75" customWidth="1"/>
    <col min="16148" max="16148" width="13.25" customWidth="1"/>
  </cols>
  <sheetData>
    <row r="1" spans="1:90">
      <c r="A1" t="s">
        <v>101</v>
      </c>
      <c r="B1" t="s">
        <v>102</v>
      </c>
      <c r="C1" t="s">
        <v>103</v>
      </c>
      <c r="D1" t="s">
        <v>104</v>
      </c>
      <c r="E1" t="s">
        <v>105</v>
      </c>
      <c r="F1" t="s">
        <v>106</v>
      </c>
      <c r="G1" t="s">
        <v>107</v>
      </c>
      <c r="H1" t="s">
        <v>108</v>
      </c>
      <c r="I1" t="s">
        <v>109</v>
      </c>
      <c r="J1" t="s">
        <v>110</v>
      </c>
      <c r="K1" t="s">
        <v>111</v>
      </c>
      <c r="L1" t="s">
        <v>112</v>
      </c>
      <c r="T1" t="s">
        <v>1190</v>
      </c>
      <c r="Y1" t="s">
        <v>1191</v>
      </c>
      <c r="AD1" t="s">
        <v>1187</v>
      </c>
      <c r="BA1" t="s">
        <v>101</v>
      </c>
      <c r="BB1" t="s">
        <v>102</v>
      </c>
      <c r="BC1" t="s">
        <v>103</v>
      </c>
      <c r="BD1" t="s">
        <v>104</v>
      </c>
      <c r="BE1" t="s">
        <v>105</v>
      </c>
      <c r="BF1" t="s">
        <v>106</v>
      </c>
      <c r="BG1" t="s">
        <v>107</v>
      </c>
      <c r="BH1" t="s">
        <v>108</v>
      </c>
      <c r="BI1" t="s">
        <v>109</v>
      </c>
      <c r="BJ1" t="s">
        <v>110</v>
      </c>
      <c r="BK1" t="s">
        <v>111</v>
      </c>
      <c r="BL1" t="s">
        <v>112</v>
      </c>
      <c r="CA1" t="s">
        <v>101</v>
      </c>
      <c r="CB1" t="s">
        <v>102</v>
      </c>
      <c r="CC1" t="s">
        <v>103</v>
      </c>
      <c r="CD1" t="s">
        <v>104</v>
      </c>
      <c r="CE1" t="s">
        <v>105</v>
      </c>
      <c r="CF1" t="s">
        <v>106</v>
      </c>
      <c r="CG1" t="s">
        <v>107</v>
      </c>
      <c r="CH1" t="s">
        <v>108</v>
      </c>
      <c r="CI1" t="s">
        <v>109</v>
      </c>
      <c r="CJ1" t="s">
        <v>110</v>
      </c>
      <c r="CK1" t="s">
        <v>111</v>
      </c>
      <c r="CL1" t="s">
        <v>112</v>
      </c>
    </row>
    <row r="2" spans="1:90" ht="16.5" thickBot="1">
      <c r="A2" t="s">
        <v>115</v>
      </c>
      <c r="B2" t="s">
        <v>116</v>
      </c>
      <c r="C2" t="s">
        <v>117</v>
      </c>
      <c r="D2" t="s">
        <v>118</v>
      </c>
      <c r="L2">
        <v>0</v>
      </c>
      <c r="T2" s="658" t="s">
        <v>1172</v>
      </c>
      <c r="U2" s="658"/>
      <c r="V2" s="658"/>
      <c r="W2" s="78"/>
      <c r="Y2" s="658" t="s">
        <v>1172</v>
      </c>
      <c r="Z2" s="658"/>
      <c r="AA2" s="658"/>
      <c r="AE2">
        <v>0.5</v>
      </c>
      <c r="AF2">
        <v>1.5</v>
      </c>
      <c r="AG2">
        <v>4.5</v>
      </c>
      <c r="AH2">
        <v>9</v>
      </c>
      <c r="AI2">
        <v>15</v>
      </c>
      <c r="AJ2">
        <v>18</v>
      </c>
      <c r="AK2">
        <v>36</v>
      </c>
      <c r="BA2" t="s">
        <v>166</v>
      </c>
      <c r="BB2" t="s">
        <v>151</v>
      </c>
      <c r="BC2" t="s">
        <v>152</v>
      </c>
      <c r="BD2" t="s">
        <v>124</v>
      </c>
      <c r="BE2" t="s">
        <v>167</v>
      </c>
      <c r="BI2" t="s">
        <v>168</v>
      </c>
      <c r="BJ2" t="s">
        <v>156</v>
      </c>
      <c r="BK2" t="s">
        <v>169</v>
      </c>
      <c r="BL2">
        <v>0</v>
      </c>
      <c r="CA2" t="s">
        <v>115</v>
      </c>
      <c r="CB2" t="s">
        <v>116</v>
      </c>
      <c r="CC2" t="s">
        <v>117</v>
      </c>
      <c r="CD2" t="s">
        <v>118</v>
      </c>
      <c r="CL2">
        <v>0</v>
      </c>
    </row>
    <row r="3" spans="1:90" ht="30">
      <c r="A3" t="s">
        <v>119</v>
      </c>
      <c r="B3" t="s">
        <v>116</v>
      </c>
      <c r="C3" t="s">
        <v>120</v>
      </c>
      <c r="D3" t="s">
        <v>118</v>
      </c>
      <c r="L3">
        <v>0</v>
      </c>
      <c r="T3" s="41" t="s">
        <v>0</v>
      </c>
      <c r="U3" s="27" t="s">
        <v>113</v>
      </c>
      <c r="V3" s="27" t="s">
        <v>114</v>
      </c>
      <c r="W3" s="79"/>
      <c r="Y3" s="41" t="s">
        <v>0</v>
      </c>
      <c r="Z3" s="27" t="s">
        <v>113</v>
      </c>
      <c r="AA3" s="27" t="s">
        <v>114</v>
      </c>
      <c r="AD3" s="41" t="s">
        <v>0</v>
      </c>
      <c r="AE3" s="27" t="s">
        <v>156</v>
      </c>
      <c r="AF3" s="27" t="s">
        <v>181</v>
      </c>
      <c r="AG3" s="27" t="s">
        <v>189</v>
      </c>
      <c r="AH3" s="27" t="s">
        <v>168</v>
      </c>
      <c r="AI3" s="27" t="s">
        <v>186</v>
      </c>
      <c r="AJ3" s="27" t="s">
        <v>221</v>
      </c>
      <c r="AK3" s="34" t="s">
        <v>418</v>
      </c>
      <c r="AL3" s="27" t="s">
        <v>147</v>
      </c>
      <c r="AM3" s="34" t="s">
        <v>147</v>
      </c>
      <c r="AN3" s="27" t="s">
        <v>1185</v>
      </c>
      <c r="BA3" t="s">
        <v>188</v>
      </c>
      <c r="BB3" t="s">
        <v>151</v>
      </c>
      <c r="BC3" t="s">
        <v>149</v>
      </c>
      <c r="BD3" t="s">
        <v>124</v>
      </c>
      <c r="BI3" t="s">
        <v>189</v>
      </c>
      <c r="BJ3" t="s">
        <v>189</v>
      </c>
      <c r="BK3" t="s">
        <v>190</v>
      </c>
      <c r="BL3">
        <v>1</v>
      </c>
      <c r="CA3" t="s">
        <v>119</v>
      </c>
      <c r="CB3" t="s">
        <v>116</v>
      </c>
      <c r="CC3" t="s">
        <v>120</v>
      </c>
      <c r="CD3" t="s">
        <v>118</v>
      </c>
      <c r="CL3">
        <v>0</v>
      </c>
    </row>
    <row r="4" spans="1:90">
      <c r="A4" t="s">
        <v>121</v>
      </c>
      <c r="B4" t="s">
        <v>116</v>
      </c>
      <c r="C4" t="s">
        <v>120</v>
      </c>
      <c r="D4" t="s">
        <v>118</v>
      </c>
      <c r="L4">
        <v>0</v>
      </c>
      <c r="T4" s="42">
        <v>0</v>
      </c>
      <c r="U4" s="28">
        <f t="shared" ref="U4:U9" si="0">COUNTIF(L:L,T4)</f>
        <v>32</v>
      </c>
      <c r="V4" s="29">
        <f t="shared" ref="V4:V9" si="1">U4/$U$10</f>
        <v>3.8834951456310676E-2</v>
      </c>
      <c r="W4" s="29"/>
      <c r="Y4" s="42">
        <v>0</v>
      </c>
      <c r="Z4" s="28">
        <f t="shared" ref="Z4:Z8" si="2">COUNTIF(CL:CL,Y4)</f>
        <v>29</v>
      </c>
      <c r="AA4" s="29">
        <f>Z4/$Z$10</f>
        <v>3.9671682626538987E-2</v>
      </c>
      <c r="AB4">
        <f>U4-Z4</f>
        <v>3</v>
      </c>
      <c r="AC4" s="32">
        <f>AB4/$AB$10</f>
        <v>3.2258064516129031E-2</v>
      </c>
      <c r="AD4" s="42">
        <v>0</v>
      </c>
      <c r="AE4" s="28">
        <f t="shared" ref="AE4:AK9" si="3">COUNTIFS($J:$J,AE$3,$L:$L,$AD4)</f>
        <v>4</v>
      </c>
      <c r="AF4" s="28">
        <f t="shared" si="3"/>
        <v>0</v>
      </c>
      <c r="AG4" s="28">
        <f t="shared" si="3"/>
        <v>0</v>
      </c>
      <c r="AH4" s="28">
        <f t="shared" si="3"/>
        <v>0</v>
      </c>
      <c r="AI4" s="28">
        <f t="shared" si="3"/>
        <v>0</v>
      </c>
      <c r="AJ4" s="28">
        <f t="shared" si="3"/>
        <v>0</v>
      </c>
      <c r="AK4" s="43">
        <f t="shared" si="3"/>
        <v>0</v>
      </c>
      <c r="AL4" s="28">
        <f t="shared" ref="AL4:AL9" si="4">SUM(AE4:AK4)</f>
        <v>4</v>
      </c>
      <c r="AM4" s="72">
        <f t="shared" ref="AM4:AM10" si="5">AL4/$AL$10</f>
        <v>1.5748031496062992E-2</v>
      </c>
      <c r="AN4" s="75">
        <f t="shared" ref="AN4:AN10" si="6">(AE4*$AE$2+AF4*$AF$2+AG4*$AG$2+AH4*$AH$2+AI4*$AI$2+AJ4*$AJ$2+AK4*$AK$2)/AL4</f>
        <v>0.5</v>
      </c>
      <c r="AQ4" s="71"/>
      <c r="BA4" t="s">
        <v>191</v>
      </c>
      <c r="BB4" t="s">
        <v>151</v>
      </c>
      <c r="BC4" t="s">
        <v>149</v>
      </c>
      <c r="BD4" t="s">
        <v>118</v>
      </c>
      <c r="BI4" t="s">
        <v>181</v>
      </c>
      <c r="BJ4" t="s">
        <v>181</v>
      </c>
      <c r="BK4" t="s">
        <v>192</v>
      </c>
      <c r="BL4">
        <v>1</v>
      </c>
      <c r="CA4" t="s">
        <v>121</v>
      </c>
      <c r="CB4" t="s">
        <v>116</v>
      </c>
      <c r="CC4" t="s">
        <v>120</v>
      </c>
      <c r="CD4" t="s">
        <v>118</v>
      </c>
      <c r="CL4">
        <v>0</v>
      </c>
    </row>
    <row r="5" spans="1:90">
      <c r="A5" t="s">
        <v>122</v>
      </c>
      <c r="B5" t="s">
        <v>116</v>
      </c>
      <c r="C5" t="s">
        <v>117</v>
      </c>
      <c r="D5" t="s">
        <v>118</v>
      </c>
      <c r="L5">
        <v>0</v>
      </c>
      <c r="T5" s="42">
        <v>1</v>
      </c>
      <c r="U5" s="28">
        <f t="shared" si="0"/>
        <v>71</v>
      </c>
      <c r="V5" s="29">
        <f t="shared" si="1"/>
        <v>8.6165048543689324E-2</v>
      </c>
      <c r="W5" s="69">
        <f>V5+V4</f>
        <v>0.125</v>
      </c>
      <c r="Y5" s="42">
        <v>1</v>
      </c>
      <c r="Z5" s="28">
        <f t="shared" si="2"/>
        <v>52</v>
      </c>
      <c r="AA5" s="29">
        <f t="shared" ref="AA5:AA9" si="7">Z5/$Z$10</f>
        <v>7.1135430916552667E-2</v>
      </c>
      <c r="AB5">
        <f t="shared" ref="AB5:AB9" si="8">U5-Z5</f>
        <v>19</v>
      </c>
      <c r="AC5" s="32">
        <f t="shared" ref="AC5:AC9" si="9">AB5/$AB$10</f>
        <v>0.20430107526881722</v>
      </c>
      <c r="AD5" s="42">
        <v>1</v>
      </c>
      <c r="AE5" s="28">
        <f t="shared" si="3"/>
        <v>7</v>
      </c>
      <c r="AF5" s="28">
        <f t="shared" si="3"/>
        <v>15</v>
      </c>
      <c r="AG5" s="28">
        <f t="shared" si="3"/>
        <v>3</v>
      </c>
      <c r="AH5" s="28">
        <f t="shared" si="3"/>
        <v>0</v>
      </c>
      <c r="AI5" s="28">
        <f t="shared" si="3"/>
        <v>0</v>
      </c>
      <c r="AJ5" s="28">
        <f t="shared" si="3"/>
        <v>1</v>
      </c>
      <c r="AK5" s="43">
        <f t="shared" si="3"/>
        <v>3</v>
      </c>
      <c r="AL5" s="28">
        <f t="shared" si="4"/>
        <v>29</v>
      </c>
      <c r="AM5" s="72">
        <f t="shared" si="5"/>
        <v>0.1141732283464567</v>
      </c>
      <c r="AN5" s="75">
        <f t="shared" si="6"/>
        <v>5.7068965517241379</v>
      </c>
      <c r="AQ5" s="71"/>
      <c r="BA5" t="s">
        <v>199</v>
      </c>
      <c r="BB5" t="s">
        <v>151</v>
      </c>
      <c r="BC5" t="s">
        <v>149</v>
      </c>
      <c r="BD5" t="s">
        <v>118</v>
      </c>
      <c r="BE5" t="s">
        <v>167</v>
      </c>
      <c r="BJ5" t="s">
        <v>156</v>
      </c>
      <c r="BK5" t="s">
        <v>200</v>
      </c>
      <c r="BL5">
        <v>1</v>
      </c>
      <c r="CA5" t="s">
        <v>122</v>
      </c>
      <c r="CB5" t="s">
        <v>116</v>
      </c>
      <c r="CC5" t="s">
        <v>117</v>
      </c>
      <c r="CD5" t="s">
        <v>118</v>
      </c>
      <c r="CL5">
        <v>0</v>
      </c>
    </row>
    <row r="6" spans="1:90">
      <c r="A6" t="s">
        <v>123</v>
      </c>
      <c r="B6" t="s">
        <v>116</v>
      </c>
      <c r="C6" t="s">
        <v>120</v>
      </c>
      <c r="D6" t="s">
        <v>124</v>
      </c>
      <c r="L6">
        <v>0</v>
      </c>
      <c r="T6" s="42">
        <v>2</v>
      </c>
      <c r="U6" s="28">
        <f t="shared" si="0"/>
        <v>405</v>
      </c>
      <c r="V6" s="29">
        <f t="shared" si="1"/>
        <v>0.49150485436893204</v>
      </c>
      <c r="W6" s="69">
        <f>V6</f>
        <v>0.49150485436893204</v>
      </c>
      <c r="Y6" s="42">
        <v>2</v>
      </c>
      <c r="Z6" s="28">
        <f t="shared" si="2"/>
        <v>344</v>
      </c>
      <c r="AA6" s="29">
        <f t="shared" si="7"/>
        <v>0.47058823529411764</v>
      </c>
      <c r="AB6">
        <f t="shared" si="8"/>
        <v>61</v>
      </c>
      <c r="AC6" s="32">
        <f t="shared" si="9"/>
        <v>0.65591397849462363</v>
      </c>
      <c r="AD6" s="42">
        <v>2</v>
      </c>
      <c r="AE6" s="28">
        <f t="shared" si="3"/>
        <v>27</v>
      </c>
      <c r="AF6" s="28">
        <f t="shared" si="3"/>
        <v>44</v>
      </c>
      <c r="AG6" s="28">
        <f t="shared" si="3"/>
        <v>12</v>
      </c>
      <c r="AH6" s="28">
        <f t="shared" si="3"/>
        <v>31</v>
      </c>
      <c r="AI6" s="28">
        <f t="shared" si="3"/>
        <v>10</v>
      </c>
      <c r="AJ6" s="28">
        <f t="shared" si="3"/>
        <v>9</v>
      </c>
      <c r="AK6" s="43">
        <f t="shared" si="3"/>
        <v>43</v>
      </c>
      <c r="AL6" s="28">
        <f t="shared" si="4"/>
        <v>176</v>
      </c>
      <c r="AM6" s="72">
        <f t="shared" si="5"/>
        <v>0.69291338582677164</v>
      </c>
      <c r="AN6" s="75">
        <f t="shared" si="6"/>
        <v>12.911931818181818</v>
      </c>
      <c r="AQ6" s="71"/>
      <c r="BA6" t="s">
        <v>204</v>
      </c>
      <c r="BB6" t="s">
        <v>151</v>
      </c>
      <c r="BC6" t="s">
        <v>152</v>
      </c>
      <c r="BD6" t="s">
        <v>124</v>
      </c>
      <c r="BE6" t="s">
        <v>167</v>
      </c>
      <c r="BI6" t="s">
        <v>156</v>
      </c>
      <c r="BJ6" t="s">
        <v>181</v>
      </c>
      <c r="BK6" t="s">
        <v>205</v>
      </c>
      <c r="BL6">
        <v>1</v>
      </c>
      <c r="CA6" t="s">
        <v>123</v>
      </c>
      <c r="CB6" t="s">
        <v>116</v>
      </c>
      <c r="CC6" t="s">
        <v>120</v>
      </c>
      <c r="CD6" t="s">
        <v>124</v>
      </c>
      <c r="CL6">
        <v>0</v>
      </c>
    </row>
    <row r="7" spans="1:90">
      <c r="A7" t="s">
        <v>125</v>
      </c>
      <c r="B7" t="s">
        <v>116</v>
      </c>
      <c r="C7" t="s">
        <v>117</v>
      </c>
      <c r="D7" t="s">
        <v>118</v>
      </c>
      <c r="L7">
        <v>0</v>
      </c>
      <c r="T7" s="42">
        <v>3</v>
      </c>
      <c r="U7" s="28">
        <f t="shared" si="0"/>
        <v>128</v>
      </c>
      <c r="V7" s="29">
        <f t="shared" si="1"/>
        <v>0.1553398058252427</v>
      </c>
      <c r="W7" s="69">
        <f>V7</f>
        <v>0.1553398058252427</v>
      </c>
      <c r="Y7" s="42">
        <v>3</v>
      </c>
      <c r="Z7" s="28">
        <f t="shared" si="2"/>
        <v>121</v>
      </c>
      <c r="AA7" s="29">
        <f t="shared" si="7"/>
        <v>0.16552667578659372</v>
      </c>
      <c r="AB7">
        <f t="shared" si="8"/>
        <v>7</v>
      </c>
      <c r="AC7" s="32">
        <f t="shared" si="9"/>
        <v>7.5268817204301078E-2</v>
      </c>
      <c r="AD7" s="42">
        <v>3</v>
      </c>
      <c r="AE7" s="28">
        <f t="shared" si="3"/>
        <v>1</v>
      </c>
      <c r="AF7" s="28">
        <f t="shared" si="3"/>
        <v>2</v>
      </c>
      <c r="AG7" s="28">
        <f t="shared" si="3"/>
        <v>2</v>
      </c>
      <c r="AH7" s="28">
        <f t="shared" si="3"/>
        <v>8</v>
      </c>
      <c r="AI7" s="28">
        <f t="shared" si="3"/>
        <v>4</v>
      </c>
      <c r="AJ7" s="28">
        <f t="shared" si="3"/>
        <v>3</v>
      </c>
      <c r="AK7" s="43">
        <f t="shared" si="3"/>
        <v>10</v>
      </c>
      <c r="AL7" s="28">
        <f t="shared" si="4"/>
        <v>30</v>
      </c>
      <c r="AM7" s="72">
        <f t="shared" si="5"/>
        <v>0.11811023622047244</v>
      </c>
      <c r="AN7" s="75">
        <f t="shared" si="6"/>
        <v>18.616666666666667</v>
      </c>
      <c r="AQ7" s="71"/>
      <c r="BA7" t="s">
        <v>208</v>
      </c>
      <c r="BB7" t="s">
        <v>151</v>
      </c>
      <c r="BC7" t="s">
        <v>149</v>
      </c>
      <c r="BD7" t="s">
        <v>124</v>
      </c>
      <c r="BE7" t="s">
        <v>167</v>
      </c>
      <c r="BI7" t="s">
        <v>181</v>
      </c>
      <c r="BJ7" t="s">
        <v>181</v>
      </c>
      <c r="BK7" t="s">
        <v>192</v>
      </c>
      <c r="BL7">
        <v>1</v>
      </c>
      <c r="CA7" t="s">
        <v>125</v>
      </c>
      <c r="CB7" t="s">
        <v>116</v>
      </c>
      <c r="CC7" t="s">
        <v>117</v>
      </c>
      <c r="CD7" t="s">
        <v>118</v>
      </c>
      <c r="CL7">
        <v>0</v>
      </c>
    </row>
    <row r="8" spans="1:90">
      <c r="A8" t="s">
        <v>126</v>
      </c>
      <c r="B8" t="s">
        <v>116</v>
      </c>
      <c r="C8" t="s">
        <v>117</v>
      </c>
      <c r="D8" t="s">
        <v>124</v>
      </c>
      <c r="L8">
        <v>0</v>
      </c>
      <c r="T8" s="42">
        <v>4</v>
      </c>
      <c r="U8" s="28">
        <f t="shared" si="0"/>
        <v>76</v>
      </c>
      <c r="V8" s="29">
        <f t="shared" si="1"/>
        <v>9.2233009708737865E-2</v>
      </c>
      <c r="W8" s="69">
        <f>V8</f>
        <v>9.2233009708737865E-2</v>
      </c>
      <c r="Y8" s="42">
        <v>4</v>
      </c>
      <c r="Z8" s="28">
        <f t="shared" si="2"/>
        <v>73</v>
      </c>
      <c r="AA8" s="29">
        <f t="shared" si="7"/>
        <v>9.9863201094391243E-2</v>
      </c>
      <c r="AB8">
        <f t="shared" si="8"/>
        <v>3</v>
      </c>
      <c r="AC8" s="32">
        <f t="shared" si="9"/>
        <v>3.2258064516129031E-2</v>
      </c>
      <c r="AD8" s="42">
        <v>4</v>
      </c>
      <c r="AE8" s="28">
        <f t="shared" si="3"/>
        <v>1</v>
      </c>
      <c r="AF8" s="28">
        <f t="shared" si="3"/>
        <v>0</v>
      </c>
      <c r="AG8" s="28">
        <f t="shared" si="3"/>
        <v>2</v>
      </c>
      <c r="AH8" s="28">
        <f t="shared" si="3"/>
        <v>2</v>
      </c>
      <c r="AI8" s="28">
        <f t="shared" si="3"/>
        <v>2</v>
      </c>
      <c r="AJ8" s="28">
        <f t="shared" si="3"/>
        <v>2</v>
      </c>
      <c r="AK8" s="43">
        <f t="shared" si="3"/>
        <v>4</v>
      </c>
      <c r="AL8" s="28">
        <f t="shared" si="4"/>
        <v>13</v>
      </c>
      <c r="AM8" s="72">
        <f t="shared" si="5"/>
        <v>5.1181102362204724E-2</v>
      </c>
      <c r="AN8" s="75">
        <f t="shared" si="6"/>
        <v>18.26923076923077</v>
      </c>
      <c r="AQ8" s="71"/>
      <c r="BA8" t="s">
        <v>214</v>
      </c>
      <c r="BB8" t="s">
        <v>215</v>
      </c>
      <c r="BC8" t="s">
        <v>216</v>
      </c>
      <c r="BD8" t="s">
        <v>124</v>
      </c>
      <c r="BE8" t="s">
        <v>167</v>
      </c>
      <c r="BI8" t="s">
        <v>156</v>
      </c>
      <c r="BJ8" t="s">
        <v>156</v>
      </c>
      <c r="BK8" t="s">
        <v>217</v>
      </c>
      <c r="CA8" t="s">
        <v>126</v>
      </c>
      <c r="CB8" t="s">
        <v>116</v>
      </c>
      <c r="CC8" t="s">
        <v>117</v>
      </c>
      <c r="CD8" t="s">
        <v>124</v>
      </c>
      <c r="CL8">
        <v>0</v>
      </c>
    </row>
    <row r="9" spans="1:90">
      <c r="A9" t="s">
        <v>127</v>
      </c>
      <c r="B9" t="s">
        <v>116</v>
      </c>
      <c r="C9" t="s">
        <v>120</v>
      </c>
      <c r="D9" t="s">
        <v>118</v>
      </c>
      <c r="L9">
        <v>0</v>
      </c>
      <c r="T9" s="42">
        <v>5</v>
      </c>
      <c r="U9" s="28">
        <f t="shared" si="0"/>
        <v>112</v>
      </c>
      <c r="V9" s="29">
        <f t="shared" si="1"/>
        <v>0.13592233009708737</v>
      </c>
      <c r="W9" s="69">
        <f>V9</f>
        <v>0.13592233009708737</v>
      </c>
      <c r="Y9" s="42">
        <v>5</v>
      </c>
      <c r="Z9" s="28">
        <f>COUNTIF(CL:CL,Y9)</f>
        <v>112</v>
      </c>
      <c r="AA9" s="29">
        <f t="shared" si="7"/>
        <v>0.15321477428180574</v>
      </c>
      <c r="AB9">
        <f t="shared" si="8"/>
        <v>0</v>
      </c>
      <c r="AC9" s="32">
        <f t="shared" si="9"/>
        <v>0</v>
      </c>
      <c r="AD9" s="42">
        <v>5</v>
      </c>
      <c r="AE9" s="28">
        <f t="shared" si="3"/>
        <v>0</v>
      </c>
      <c r="AF9" s="28">
        <f t="shared" si="3"/>
        <v>1</v>
      </c>
      <c r="AG9" s="28">
        <f t="shared" si="3"/>
        <v>0</v>
      </c>
      <c r="AH9" s="28">
        <f t="shared" si="3"/>
        <v>0</v>
      </c>
      <c r="AI9" s="28">
        <f t="shared" si="3"/>
        <v>0</v>
      </c>
      <c r="AJ9" s="28">
        <f t="shared" si="3"/>
        <v>1</v>
      </c>
      <c r="AK9" s="43">
        <f t="shared" si="3"/>
        <v>0</v>
      </c>
      <c r="AL9" s="28">
        <f t="shared" si="4"/>
        <v>2</v>
      </c>
      <c r="AM9" s="73">
        <f t="shared" si="5"/>
        <v>7.874015748031496E-3</v>
      </c>
      <c r="AN9" s="75">
        <f t="shared" si="6"/>
        <v>9.75</v>
      </c>
      <c r="AQ9" s="71"/>
      <c r="BA9" t="s">
        <v>218</v>
      </c>
      <c r="BB9" t="s">
        <v>151</v>
      </c>
      <c r="BC9" t="s">
        <v>152</v>
      </c>
      <c r="BD9" t="s">
        <v>118</v>
      </c>
      <c r="BI9" t="s">
        <v>189</v>
      </c>
      <c r="BJ9" t="s">
        <v>189</v>
      </c>
      <c r="BK9" t="s">
        <v>219</v>
      </c>
      <c r="BL9">
        <v>1</v>
      </c>
      <c r="CA9" t="s">
        <v>127</v>
      </c>
      <c r="CB9" t="s">
        <v>116</v>
      </c>
      <c r="CC9" t="s">
        <v>120</v>
      </c>
      <c r="CD9" t="s">
        <v>118</v>
      </c>
      <c r="CL9">
        <v>0</v>
      </c>
    </row>
    <row r="10" spans="1:90" ht="15" thickBot="1">
      <c r="A10" t="s">
        <v>128</v>
      </c>
      <c r="B10" t="s">
        <v>116</v>
      </c>
      <c r="C10" t="s">
        <v>117</v>
      </c>
      <c r="D10" t="s">
        <v>118</v>
      </c>
      <c r="L10">
        <v>0</v>
      </c>
      <c r="T10" s="40"/>
      <c r="U10" s="30">
        <f>SUM(U4:U9)</f>
        <v>824</v>
      </c>
      <c r="V10" s="31">
        <f>SUM(V4:V9)</f>
        <v>0.99999999999999978</v>
      </c>
      <c r="W10" s="80"/>
      <c r="Y10" s="40"/>
      <c r="Z10" s="30">
        <f>SUM(Z4:Z9)</f>
        <v>731</v>
      </c>
      <c r="AA10" s="31">
        <f>SUM(AA4:AA9)</f>
        <v>1</v>
      </c>
      <c r="AB10">
        <f>SUM(AB4:AB9)</f>
        <v>93</v>
      </c>
      <c r="AD10" s="37" t="s">
        <v>1184</v>
      </c>
      <c r="AE10" s="70">
        <f>SUM(AE4:AE9)</f>
        <v>40</v>
      </c>
      <c r="AF10" s="49">
        <f t="shared" ref="AF10:AK10" si="10">SUM(AF4:AF9)</f>
        <v>62</v>
      </c>
      <c r="AG10" s="49">
        <f t="shared" si="10"/>
        <v>19</v>
      </c>
      <c r="AH10" s="49">
        <f t="shared" si="10"/>
        <v>41</v>
      </c>
      <c r="AI10" s="49">
        <f t="shared" si="10"/>
        <v>16</v>
      </c>
      <c r="AJ10" s="49">
        <f t="shared" si="10"/>
        <v>16</v>
      </c>
      <c r="AK10" s="50">
        <f t="shared" si="10"/>
        <v>60</v>
      </c>
      <c r="AL10" s="49">
        <f>SUM(AL4:AL9)</f>
        <v>254</v>
      </c>
      <c r="AM10" s="72">
        <f t="shared" si="5"/>
        <v>1</v>
      </c>
      <c r="AN10" s="76">
        <f t="shared" si="6"/>
        <v>12.816929133858268</v>
      </c>
      <c r="AQ10" s="71"/>
      <c r="BA10" t="s">
        <v>220</v>
      </c>
      <c r="BB10" t="s">
        <v>151</v>
      </c>
      <c r="BC10" t="s">
        <v>152</v>
      </c>
      <c r="BD10" t="s">
        <v>118</v>
      </c>
      <c r="BE10" t="s">
        <v>167</v>
      </c>
      <c r="BI10" t="s">
        <v>221</v>
      </c>
      <c r="BJ10" t="s">
        <v>221</v>
      </c>
      <c r="BK10" t="s">
        <v>222</v>
      </c>
      <c r="BL10">
        <v>1</v>
      </c>
      <c r="CA10" t="s">
        <v>128</v>
      </c>
      <c r="CB10" t="s">
        <v>116</v>
      </c>
      <c r="CC10" t="s">
        <v>117</v>
      </c>
      <c r="CD10" t="s">
        <v>118</v>
      </c>
      <c r="CL10">
        <v>0</v>
      </c>
    </row>
    <row r="11" spans="1:90" ht="15" thickBot="1">
      <c r="A11" t="s">
        <v>129</v>
      </c>
      <c r="B11" t="s">
        <v>116</v>
      </c>
      <c r="C11" t="s">
        <v>120</v>
      </c>
      <c r="D11" t="s">
        <v>118</v>
      </c>
      <c r="L11">
        <v>0</v>
      </c>
      <c r="AD11" s="40" t="s">
        <v>1184</v>
      </c>
      <c r="AE11" s="31">
        <f t="shared" ref="AE11:AL11" si="11">AE10/$AL$10</f>
        <v>0.15748031496062992</v>
      </c>
      <c r="AF11" s="31">
        <f t="shared" si="11"/>
        <v>0.24409448818897639</v>
      </c>
      <c r="AG11" s="31">
        <f t="shared" si="11"/>
        <v>7.4803149606299218E-2</v>
      </c>
      <c r="AH11" s="31">
        <f t="shared" si="11"/>
        <v>0.16141732283464566</v>
      </c>
      <c r="AI11" s="31">
        <f t="shared" si="11"/>
        <v>6.2992125984251968E-2</v>
      </c>
      <c r="AJ11" s="31">
        <f t="shared" si="11"/>
        <v>6.2992125984251968E-2</v>
      </c>
      <c r="AK11" s="53">
        <f t="shared" si="11"/>
        <v>0.23622047244094488</v>
      </c>
      <c r="AL11" s="31">
        <f t="shared" si="11"/>
        <v>1</v>
      </c>
      <c r="AM11" s="53"/>
      <c r="BA11" t="s">
        <v>229</v>
      </c>
      <c r="BB11" t="s">
        <v>151</v>
      </c>
      <c r="BC11" t="s">
        <v>149</v>
      </c>
      <c r="BD11" t="s">
        <v>124</v>
      </c>
      <c r="BE11" t="s">
        <v>167</v>
      </c>
      <c r="BI11" t="s">
        <v>181</v>
      </c>
      <c r="BJ11" t="s">
        <v>181</v>
      </c>
      <c r="BK11" t="s">
        <v>192</v>
      </c>
      <c r="BL11">
        <v>1</v>
      </c>
      <c r="CA11" t="s">
        <v>129</v>
      </c>
      <c r="CB11" t="s">
        <v>116</v>
      </c>
      <c r="CC11" t="s">
        <v>120</v>
      </c>
      <c r="CD11" t="s">
        <v>118</v>
      </c>
      <c r="CL11">
        <v>0</v>
      </c>
    </row>
    <row r="12" spans="1:90">
      <c r="A12" t="s">
        <v>130</v>
      </c>
      <c r="B12" t="s">
        <v>116</v>
      </c>
      <c r="C12" t="s">
        <v>117</v>
      </c>
      <c r="D12" t="s">
        <v>124</v>
      </c>
      <c r="L12">
        <v>0</v>
      </c>
      <c r="AD12" t="s">
        <v>1186</v>
      </c>
      <c r="AE12" s="75">
        <f t="shared" ref="AE12:AL12" si="12">(AE4*$AD$4+AE5*$AD$5+AE6*$AD$6+AE7*$AD$7+AE8*$AD$8+AE9*$AD$9)/AE10</f>
        <v>1.7</v>
      </c>
      <c r="AF12" s="75">
        <f t="shared" si="12"/>
        <v>1.8387096774193548</v>
      </c>
      <c r="AG12" s="75">
        <f t="shared" si="12"/>
        <v>2.1578947368421053</v>
      </c>
      <c r="AH12" s="75">
        <f t="shared" si="12"/>
        <v>2.2926829268292681</v>
      </c>
      <c r="AI12" s="75">
        <f t="shared" si="12"/>
        <v>2.5</v>
      </c>
      <c r="AJ12" s="75">
        <f t="shared" si="12"/>
        <v>2.5625</v>
      </c>
      <c r="AK12" s="75">
        <f t="shared" si="12"/>
        <v>2.25</v>
      </c>
      <c r="AL12" s="75">
        <f t="shared" si="12"/>
        <v>2.0984251968503935</v>
      </c>
      <c r="BA12" t="s">
        <v>230</v>
      </c>
      <c r="BB12" t="s">
        <v>151</v>
      </c>
      <c r="BC12" t="s">
        <v>152</v>
      </c>
      <c r="BD12" t="s">
        <v>118</v>
      </c>
      <c r="BE12" t="s">
        <v>167</v>
      </c>
      <c r="BI12" t="s">
        <v>181</v>
      </c>
      <c r="BJ12" t="s">
        <v>181</v>
      </c>
      <c r="BK12" t="s">
        <v>192</v>
      </c>
      <c r="BL12">
        <v>1</v>
      </c>
      <c r="CA12" t="s">
        <v>130</v>
      </c>
      <c r="CB12" t="s">
        <v>116</v>
      </c>
      <c r="CC12" t="s">
        <v>117</v>
      </c>
      <c r="CD12" t="s">
        <v>124</v>
      </c>
      <c r="CL12">
        <v>0</v>
      </c>
    </row>
    <row r="13" spans="1:90" ht="16.5" thickBot="1">
      <c r="A13" t="s">
        <v>131</v>
      </c>
      <c r="B13" t="s">
        <v>116</v>
      </c>
      <c r="C13" t="s">
        <v>117</v>
      </c>
      <c r="D13" t="s">
        <v>132</v>
      </c>
      <c r="L13">
        <v>0</v>
      </c>
      <c r="S13" s="658" t="s">
        <v>1192</v>
      </c>
      <c r="T13" s="658"/>
      <c r="U13" s="658"/>
      <c r="V13" s="658"/>
      <c r="W13" s="658"/>
      <c r="X13" s="658"/>
      <c r="Y13" s="658"/>
      <c r="Z13" s="658"/>
      <c r="AA13" s="658"/>
      <c r="AB13" s="658"/>
      <c r="AE13" s="69">
        <f>AE11</f>
        <v>0.15748031496062992</v>
      </c>
      <c r="AF13" s="69">
        <f>AE13+AF11</f>
        <v>0.40157480314960631</v>
      </c>
      <c r="AG13" s="69">
        <f t="shared" ref="AG13:AK13" si="13">AF13+AG11</f>
        <v>0.47637795275590555</v>
      </c>
      <c r="AH13" s="69">
        <f t="shared" si="13"/>
        <v>0.63779527559055116</v>
      </c>
      <c r="AI13" s="69">
        <f t="shared" si="13"/>
        <v>0.70078740157480313</v>
      </c>
      <c r="AJ13" s="69">
        <f t="shared" si="13"/>
        <v>0.76377952755905509</v>
      </c>
      <c r="AK13" s="69">
        <f t="shared" si="13"/>
        <v>1</v>
      </c>
      <c r="BA13" t="s">
        <v>252</v>
      </c>
      <c r="BB13" t="s">
        <v>116</v>
      </c>
      <c r="BC13" t="s">
        <v>149</v>
      </c>
      <c r="BD13" t="s">
        <v>118</v>
      </c>
      <c r="BJ13" t="s">
        <v>181</v>
      </c>
      <c r="BL13">
        <v>1</v>
      </c>
      <c r="CA13" t="s">
        <v>131</v>
      </c>
      <c r="CB13" t="s">
        <v>116</v>
      </c>
      <c r="CC13" t="s">
        <v>117</v>
      </c>
      <c r="CD13" t="s">
        <v>132</v>
      </c>
      <c r="CL13">
        <v>0</v>
      </c>
    </row>
    <row r="14" spans="1:90" ht="15" customHeight="1">
      <c r="A14" t="s">
        <v>137</v>
      </c>
      <c r="B14" t="s">
        <v>116</v>
      </c>
      <c r="C14" t="s">
        <v>120</v>
      </c>
      <c r="D14" t="s">
        <v>118</v>
      </c>
      <c r="L14">
        <v>0</v>
      </c>
      <c r="S14" s="38" t="s">
        <v>133</v>
      </c>
      <c r="T14" s="27" t="s">
        <v>117</v>
      </c>
      <c r="U14" s="27" t="s">
        <v>134</v>
      </c>
      <c r="V14" s="27" t="s">
        <v>120</v>
      </c>
      <c r="W14" s="27" t="s">
        <v>135</v>
      </c>
      <c r="X14" s="34" t="s">
        <v>136</v>
      </c>
      <c r="Y14" s="36" t="s">
        <v>1157</v>
      </c>
      <c r="Z14" s="27" t="s">
        <v>1160</v>
      </c>
      <c r="AA14" s="27" t="s">
        <v>1164</v>
      </c>
      <c r="AB14" s="27" t="s">
        <v>1165</v>
      </c>
      <c r="AE14" s="69"/>
      <c r="AF14" s="69"/>
      <c r="AG14" s="69"/>
      <c r="AH14" s="69"/>
      <c r="AI14" s="69"/>
      <c r="AJ14" s="69"/>
      <c r="AK14" s="69"/>
      <c r="BA14" t="s">
        <v>267</v>
      </c>
      <c r="BB14" t="s">
        <v>151</v>
      </c>
      <c r="BC14" t="s">
        <v>149</v>
      </c>
      <c r="BD14" t="s">
        <v>124</v>
      </c>
      <c r="BE14" t="s">
        <v>167</v>
      </c>
      <c r="BI14" t="s">
        <v>156</v>
      </c>
      <c r="BJ14" t="s">
        <v>156</v>
      </c>
      <c r="BK14" t="s">
        <v>268</v>
      </c>
      <c r="BL14">
        <v>1</v>
      </c>
      <c r="CA14" t="s">
        <v>137</v>
      </c>
      <c r="CB14" t="s">
        <v>116</v>
      </c>
      <c r="CC14" t="s">
        <v>120</v>
      </c>
      <c r="CD14" t="s">
        <v>118</v>
      </c>
      <c r="CL14">
        <v>0</v>
      </c>
    </row>
    <row r="15" spans="1:90">
      <c r="A15" t="s">
        <v>139</v>
      </c>
      <c r="B15" t="s">
        <v>116</v>
      </c>
      <c r="C15" t="s">
        <v>117</v>
      </c>
      <c r="D15" t="s">
        <v>118</v>
      </c>
      <c r="L15">
        <v>0</v>
      </c>
      <c r="S15" s="35" t="s">
        <v>138</v>
      </c>
      <c r="T15" s="28">
        <f t="shared" ref="T15:X19" si="14">COUNTIFS($C:$C,T$14,$D:$D,$S15)</f>
        <v>10</v>
      </c>
      <c r="U15" s="28">
        <f t="shared" si="14"/>
        <v>0</v>
      </c>
      <c r="V15" s="28">
        <f t="shared" si="14"/>
        <v>4</v>
      </c>
      <c r="W15" s="28">
        <f t="shared" si="14"/>
        <v>0</v>
      </c>
      <c r="X15" s="43">
        <f t="shared" si="14"/>
        <v>0</v>
      </c>
      <c r="Y15" s="44">
        <f>SUM(T15:X15)</f>
        <v>14</v>
      </c>
      <c r="Z15" s="29">
        <f t="shared" ref="Z15:Z21" si="15">Y15/$Y$21</f>
        <v>1.6336056009334889E-2</v>
      </c>
      <c r="AA15" s="28">
        <f t="shared" ref="AA15:AA20" si="16">T15+U15+V15</f>
        <v>14</v>
      </c>
      <c r="AB15" s="28">
        <f t="shared" ref="AB15:AB20" si="17">W15+X15</f>
        <v>0</v>
      </c>
      <c r="AE15" s="69"/>
      <c r="AF15" s="69"/>
      <c r="AG15" s="69"/>
      <c r="AH15" s="69"/>
      <c r="AI15" s="69"/>
      <c r="AJ15" s="69"/>
      <c r="AK15" s="69"/>
      <c r="BA15" t="s">
        <v>305</v>
      </c>
      <c r="BB15" t="s">
        <v>151</v>
      </c>
      <c r="BC15" t="s">
        <v>152</v>
      </c>
      <c r="BD15" t="s">
        <v>132</v>
      </c>
      <c r="BE15" t="s">
        <v>167</v>
      </c>
      <c r="BI15" t="s">
        <v>168</v>
      </c>
      <c r="BJ15" t="s">
        <v>156</v>
      </c>
      <c r="BK15" t="s">
        <v>306</v>
      </c>
      <c r="BL15">
        <v>2</v>
      </c>
      <c r="CA15" t="s">
        <v>139</v>
      </c>
      <c r="CB15" t="s">
        <v>116</v>
      </c>
      <c r="CC15" t="s">
        <v>117</v>
      </c>
      <c r="CD15" t="s">
        <v>118</v>
      </c>
      <c r="CL15">
        <v>0</v>
      </c>
    </row>
    <row r="16" spans="1:90" ht="15">
      <c r="A16" t="s">
        <v>140</v>
      </c>
      <c r="B16" t="s">
        <v>116</v>
      </c>
      <c r="C16" t="s">
        <v>117</v>
      </c>
      <c r="D16" t="s">
        <v>118</v>
      </c>
      <c r="L16">
        <v>0</v>
      </c>
      <c r="S16" s="35" t="s">
        <v>118</v>
      </c>
      <c r="T16" s="28">
        <f t="shared" si="14"/>
        <v>245</v>
      </c>
      <c r="U16" s="28">
        <f t="shared" si="14"/>
        <v>9</v>
      </c>
      <c r="V16" s="28">
        <f t="shared" si="14"/>
        <v>157</v>
      </c>
      <c r="W16" s="28">
        <f t="shared" si="14"/>
        <v>4</v>
      </c>
      <c r="X16" s="43">
        <f t="shared" si="14"/>
        <v>7</v>
      </c>
      <c r="Y16" s="44">
        <f t="shared" ref="Y16:Y19" si="18">SUM(T16:X16)</f>
        <v>422</v>
      </c>
      <c r="Z16" s="29">
        <f t="shared" si="15"/>
        <v>0.49241540256709454</v>
      </c>
      <c r="AA16" s="28">
        <f t="shared" si="16"/>
        <v>411</v>
      </c>
      <c r="AB16" s="28">
        <f t="shared" si="17"/>
        <v>11</v>
      </c>
      <c r="AD16" s="707" t="s">
        <v>1252</v>
      </c>
      <c r="AE16" s="707"/>
      <c r="AF16" s="707"/>
      <c r="AG16" s="707"/>
      <c r="AH16" s="707"/>
      <c r="AI16" s="707"/>
      <c r="AJ16" s="707"/>
      <c r="AK16" s="707"/>
      <c r="AL16" s="707"/>
      <c r="AM16" s="707"/>
      <c r="AN16" s="707"/>
      <c r="BA16" t="s">
        <v>316</v>
      </c>
      <c r="BB16" t="s">
        <v>151</v>
      </c>
      <c r="BC16" t="s">
        <v>149</v>
      </c>
      <c r="BD16" t="s">
        <v>124</v>
      </c>
      <c r="BI16" t="s">
        <v>189</v>
      </c>
      <c r="BJ16" t="s">
        <v>189</v>
      </c>
      <c r="BL16">
        <v>2</v>
      </c>
      <c r="CA16" t="s">
        <v>140</v>
      </c>
      <c r="CB16" t="s">
        <v>116</v>
      </c>
      <c r="CC16" t="s">
        <v>117</v>
      </c>
      <c r="CD16" t="s">
        <v>118</v>
      </c>
      <c r="CL16">
        <v>0</v>
      </c>
    </row>
    <row r="17" spans="1:90" ht="15" thickBot="1">
      <c r="A17" t="s">
        <v>141</v>
      </c>
      <c r="B17" t="s">
        <v>116</v>
      </c>
      <c r="C17" t="s">
        <v>120</v>
      </c>
      <c r="D17" t="s">
        <v>118</v>
      </c>
      <c r="L17">
        <v>0</v>
      </c>
      <c r="S17" s="35" t="s">
        <v>124</v>
      </c>
      <c r="T17" s="28">
        <f t="shared" si="14"/>
        <v>188</v>
      </c>
      <c r="U17" s="28">
        <f t="shared" si="14"/>
        <v>19</v>
      </c>
      <c r="V17" s="28">
        <f t="shared" si="14"/>
        <v>124</v>
      </c>
      <c r="W17" s="28">
        <f t="shared" si="14"/>
        <v>2</v>
      </c>
      <c r="X17" s="43">
        <f t="shared" si="14"/>
        <v>13</v>
      </c>
      <c r="Y17" s="44">
        <f t="shared" si="18"/>
        <v>346</v>
      </c>
      <c r="Z17" s="29">
        <f t="shared" si="15"/>
        <v>0.40373395565927656</v>
      </c>
      <c r="AA17" s="28">
        <f t="shared" si="16"/>
        <v>331</v>
      </c>
      <c r="AB17" s="28">
        <f t="shared" si="17"/>
        <v>15</v>
      </c>
      <c r="AE17">
        <v>0.5</v>
      </c>
      <c r="AF17">
        <v>1.5</v>
      </c>
      <c r="AG17">
        <v>4.5</v>
      </c>
      <c r="AH17">
        <v>9</v>
      </c>
      <c r="AI17">
        <v>15</v>
      </c>
      <c r="AJ17">
        <v>18</v>
      </c>
      <c r="AK17">
        <v>36</v>
      </c>
      <c r="BA17" t="s">
        <v>330</v>
      </c>
      <c r="BB17" t="s">
        <v>151</v>
      </c>
      <c r="BC17" t="s">
        <v>152</v>
      </c>
      <c r="BD17" t="s">
        <v>124</v>
      </c>
      <c r="BE17" t="s">
        <v>167</v>
      </c>
      <c r="BI17" t="s">
        <v>186</v>
      </c>
      <c r="BJ17" t="s">
        <v>181</v>
      </c>
      <c r="BK17" t="s">
        <v>331</v>
      </c>
      <c r="BL17">
        <v>2</v>
      </c>
      <c r="CA17" t="s">
        <v>141</v>
      </c>
      <c r="CB17" t="s">
        <v>116</v>
      </c>
      <c r="CC17" t="s">
        <v>120</v>
      </c>
      <c r="CD17" t="s">
        <v>118</v>
      </c>
      <c r="CL17">
        <v>0</v>
      </c>
    </row>
    <row r="18" spans="1:90" ht="30">
      <c r="A18" t="s">
        <v>142</v>
      </c>
      <c r="B18" t="s">
        <v>116</v>
      </c>
      <c r="C18" t="s">
        <v>117</v>
      </c>
      <c r="D18" t="s">
        <v>124</v>
      </c>
      <c r="L18">
        <v>0</v>
      </c>
      <c r="S18" s="35" t="s">
        <v>132</v>
      </c>
      <c r="T18" s="28">
        <f t="shared" si="14"/>
        <v>38</v>
      </c>
      <c r="U18" s="28">
        <f t="shared" si="14"/>
        <v>6</v>
      </c>
      <c r="V18" s="28">
        <f t="shared" si="14"/>
        <v>13</v>
      </c>
      <c r="W18" s="28">
        <f t="shared" si="14"/>
        <v>1</v>
      </c>
      <c r="X18" s="43">
        <f t="shared" si="14"/>
        <v>5</v>
      </c>
      <c r="Y18" s="44">
        <f t="shared" si="18"/>
        <v>63</v>
      </c>
      <c r="Z18" s="29">
        <f t="shared" si="15"/>
        <v>7.3512252042006995E-2</v>
      </c>
      <c r="AA18" s="28">
        <f t="shared" si="16"/>
        <v>57</v>
      </c>
      <c r="AB18" s="28">
        <f t="shared" si="17"/>
        <v>6</v>
      </c>
      <c r="AD18" s="41" t="s">
        <v>0</v>
      </c>
      <c r="AE18" s="27" t="s">
        <v>156</v>
      </c>
      <c r="AF18" s="27" t="s">
        <v>181</v>
      </c>
      <c r="AG18" s="27" t="s">
        <v>189</v>
      </c>
      <c r="AH18" s="27" t="s">
        <v>168</v>
      </c>
      <c r="AI18" s="27" t="s">
        <v>186</v>
      </c>
      <c r="AJ18" s="27" t="s">
        <v>221</v>
      </c>
      <c r="AK18" s="34" t="s">
        <v>418</v>
      </c>
      <c r="AL18" s="27" t="s">
        <v>147</v>
      </c>
      <c r="AM18" s="34" t="s">
        <v>147</v>
      </c>
      <c r="AN18" s="27" t="s">
        <v>1185</v>
      </c>
      <c r="BA18" t="s">
        <v>333</v>
      </c>
      <c r="BB18" t="s">
        <v>151</v>
      </c>
      <c r="BC18" t="s">
        <v>152</v>
      </c>
      <c r="BD18" t="s">
        <v>124</v>
      </c>
      <c r="BE18" t="s">
        <v>167</v>
      </c>
      <c r="BI18" t="s">
        <v>189</v>
      </c>
      <c r="BJ18" t="s">
        <v>189</v>
      </c>
      <c r="BK18" t="s">
        <v>334</v>
      </c>
      <c r="BL18">
        <v>2</v>
      </c>
      <c r="CA18" t="s">
        <v>142</v>
      </c>
      <c r="CB18" t="s">
        <v>116</v>
      </c>
      <c r="CC18" t="s">
        <v>117</v>
      </c>
      <c r="CD18" t="s">
        <v>124</v>
      </c>
      <c r="CL18">
        <v>0</v>
      </c>
    </row>
    <row r="19" spans="1:90">
      <c r="A19" t="s">
        <v>144</v>
      </c>
      <c r="B19" t="s">
        <v>116</v>
      </c>
      <c r="C19" t="s">
        <v>120</v>
      </c>
      <c r="D19" t="s">
        <v>124</v>
      </c>
      <c r="L19">
        <v>0</v>
      </c>
      <c r="S19" s="35" t="s">
        <v>143</v>
      </c>
      <c r="T19" s="28">
        <f t="shared" si="14"/>
        <v>6</v>
      </c>
      <c r="U19" s="28">
        <f t="shared" si="14"/>
        <v>1</v>
      </c>
      <c r="V19" s="28">
        <f t="shared" si="14"/>
        <v>2</v>
      </c>
      <c r="W19" s="28">
        <f t="shared" si="14"/>
        <v>0</v>
      </c>
      <c r="X19" s="43">
        <f t="shared" si="14"/>
        <v>2</v>
      </c>
      <c r="Y19" s="44">
        <f t="shared" si="18"/>
        <v>11</v>
      </c>
      <c r="Z19" s="29">
        <f t="shared" si="15"/>
        <v>1.2835472578763127E-2</v>
      </c>
      <c r="AA19" s="28">
        <f t="shared" si="16"/>
        <v>9</v>
      </c>
      <c r="AB19" s="28">
        <f t="shared" si="17"/>
        <v>2</v>
      </c>
      <c r="AD19" s="42">
        <v>0</v>
      </c>
      <c r="AE19" s="28">
        <f t="shared" ref="AE19:AK24" si="19">COUNTIFS($BJ:$BJ,AE$18,$BL:$BL,$AD19)</f>
        <v>2</v>
      </c>
      <c r="AF19" s="28">
        <f t="shared" si="19"/>
        <v>0</v>
      </c>
      <c r="AG19" s="28">
        <f t="shared" si="19"/>
        <v>0</v>
      </c>
      <c r="AH19" s="28">
        <f t="shared" si="19"/>
        <v>0</v>
      </c>
      <c r="AI19" s="28">
        <f t="shared" si="19"/>
        <v>0</v>
      </c>
      <c r="AJ19" s="28">
        <f t="shared" si="19"/>
        <v>0</v>
      </c>
      <c r="AK19" s="77">
        <f t="shared" si="19"/>
        <v>0</v>
      </c>
      <c r="AL19" s="28">
        <f t="shared" ref="AL19:AL24" si="20">SUM(AE19:AK19)</f>
        <v>2</v>
      </c>
      <c r="AM19" s="72">
        <f>AL19/$AL$25</f>
        <v>1.3605442176870748E-2</v>
      </c>
      <c r="AN19" s="75">
        <f t="shared" ref="AN19:AN24" si="21">(AE19*$AE$2+AF19*$AF$2+AG19*$AG$2+AH19*$AH$2+AI19*$AI$2+AJ19*$AJ$2+AK19*$AK$2)/AL19</f>
        <v>0.5</v>
      </c>
      <c r="BA19" t="s">
        <v>338</v>
      </c>
      <c r="BB19" t="s">
        <v>151</v>
      </c>
      <c r="BC19" t="s">
        <v>152</v>
      </c>
      <c r="BD19" t="s">
        <v>132</v>
      </c>
      <c r="BE19" t="s">
        <v>167</v>
      </c>
      <c r="BI19" t="s">
        <v>156</v>
      </c>
      <c r="BJ19" t="s">
        <v>156</v>
      </c>
      <c r="BK19" t="s">
        <v>339</v>
      </c>
      <c r="BL19">
        <v>2</v>
      </c>
      <c r="CA19" t="s">
        <v>144</v>
      </c>
      <c r="CB19" t="s">
        <v>116</v>
      </c>
      <c r="CC19" t="s">
        <v>120</v>
      </c>
      <c r="CD19" t="s">
        <v>124</v>
      </c>
      <c r="CL19">
        <v>0</v>
      </c>
    </row>
    <row r="20" spans="1:90">
      <c r="A20" t="s">
        <v>146</v>
      </c>
      <c r="B20" t="s">
        <v>116</v>
      </c>
      <c r="C20" t="s">
        <v>120</v>
      </c>
      <c r="D20" t="s">
        <v>118</v>
      </c>
      <c r="L20">
        <v>0</v>
      </c>
      <c r="S20" s="39" t="s">
        <v>145</v>
      </c>
      <c r="T20" s="45">
        <v>1</v>
      </c>
      <c r="U20" s="45">
        <v>0</v>
      </c>
      <c r="V20" s="45">
        <v>0</v>
      </c>
      <c r="W20" s="45">
        <v>0</v>
      </c>
      <c r="X20" s="46">
        <v>0</v>
      </c>
      <c r="Y20" s="47">
        <f>SUM(T20:X20)</f>
        <v>1</v>
      </c>
      <c r="Z20" s="48">
        <f t="shared" si="15"/>
        <v>1.1668611435239206E-3</v>
      </c>
      <c r="AA20" s="45">
        <f t="shared" si="16"/>
        <v>1</v>
      </c>
      <c r="AB20" s="28">
        <f t="shared" si="17"/>
        <v>0</v>
      </c>
      <c r="AD20" s="42">
        <v>1</v>
      </c>
      <c r="AE20" s="28">
        <f t="shared" si="19"/>
        <v>2</v>
      </c>
      <c r="AF20" s="28">
        <f t="shared" si="19"/>
        <v>6</v>
      </c>
      <c r="AG20" s="28">
        <f t="shared" si="19"/>
        <v>2</v>
      </c>
      <c r="AH20" s="28">
        <f t="shared" si="19"/>
        <v>0</v>
      </c>
      <c r="AI20" s="28">
        <f t="shared" si="19"/>
        <v>0</v>
      </c>
      <c r="AJ20" s="28">
        <f t="shared" si="19"/>
        <v>1</v>
      </c>
      <c r="AK20" s="43">
        <f t="shared" si="19"/>
        <v>2</v>
      </c>
      <c r="AL20" s="28">
        <f t="shared" si="20"/>
        <v>13</v>
      </c>
      <c r="AM20" s="72">
        <f t="shared" ref="AM20:AM25" si="22">AL20/$AL$25</f>
        <v>8.8435374149659865E-2</v>
      </c>
      <c r="AN20" s="75">
        <f t="shared" si="21"/>
        <v>8.384615384615385</v>
      </c>
      <c r="BA20" t="s">
        <v>341</v>
      </c>
      <c r="BB20" t="s">
        <v>151</v>
      </c>
      <c r="BC20" t="s">
        <v>152</v>
      </c>
      <c r="BD20" t="s">
        <v>124</v>
      </c>
      <c r="BE20" t="s">
        <v>167</v>
      </c>
      <c r="BI20" t="s">
        <v>181</v>
      </c>
      <c r="BJ20" t="s">
        <v>181</v>
      </c>
      <c r="BK20" t="s">
        <v>342</v>
      </c>
      <c r="BL20">
        <v>2</v>
      </c>
      <c r="CA20" t="s">
        <v>146</v>
      </c>
      <c r="CB20" t="s">
        <v>116</v>
      </c>
      <c r="CC20" t="s">
        <v>120</v>
      </c>
      <c r="CD20" t="s">
        <v>118</v>
      </c>
      <c r="CL20">
        <v>0</v>
      </c>
    </row>
    <row r="21" spans="1:90">
      <c r="A21" t="s">
        <v>148</v>
      </c>
      <c r="B21" t="s">
        <v>116</v>
      </c>
      <c r="C21" t="s">
        <v>149</v>
      </c>
      <c r="D21" t="s">
        <v>124</v>
      </c>
      <c r="L21">
        <v>0</v>
      </c>
      <c r="S21" s="37" t="s">
        <v>1158</v>
      </c>
      <c r="T21" s="49">
        <f>SUM(T15:T20)</f>
        <v>488</v>
      </c>
      <c r="U21" s="49">
        <f t="shared" ref="U21:X21" si="23">SUM(U15:U20)</f>
        <v>35</v>
      </c>
      <c r="V21" s="49">
        <f t="shared" si="23"/>
        <v>300</v>
      </c>
      <c r="W21" s="49">
        <f t="shared" si="23"/>
        <v>7</v>
      </c>
      <c r="X21" s="50">
        <f t="shared" si="23"/>
        <v>27</v>
      </c>
      <c r="Y21" s="51">
        <f>SUM(Y15:Y20)</f>
        <v>857</v>
      </c>
      <c r="Z21" s="52">
        <f t="shared" si="15"/>
        <v>1</v>
      </c>
      <c r="AA21" s="49">
        <f t="shared" ref="AA21:AB21" si="24">SUM(AA15:AA20)</f>
        <v>823</v>
      </c>
      <c r="AB21" s="49">
        <f t="shared" si="24"/>
        <v>34</v>
      </c>
      <c r="AD21" s="42">
        <v>2</v>
      </c>
      <c r="AE21" s="28">
        <f t="shared" si="19"/>
        <v>10</v>
      </c>
      <c r="AF21" s="28">
        <f t="shared" si="19"/>
        <v>21</v>
      </c>
      <c r="AG21" s="28">
        <f t="shared" si="19"/>
        <v>7</v>
      </c>
      <c r="AH21" s="28">
        <f t="shared" si="19"/>
        <v>19</v>
      </c>
      <c r="AI21" s="28">
        <f t="shared" si="19"/>
        <v>8</v>
      </c>
      <c r="AJ21" s="28">
        <f t="shared" si="19"/>
        <v>9</v>
      </c>
      <c r="AK21" s="43">
        <f t="shared" si="19"/>
        <v>26</v>
      </c>
      <c r="AL21" s="28">
        <f t="shared" si="20"/>
        <v>100</v>
      </c>
      <c r="AM21" s="72">
        <f t="shared" si="22"/>
        <v>0.68027210884353739</v>
      </c>
      <c r="AN21" s="75">
        <f t="shared" si="21"/>
        <v>14.57</v>
      </c>
      <c r="BA21" t="s">
        <v>344</v>
      </c>
      <c r="BB21" t="s">
        <v>151</v>
      </c>
      <c r="BC21" t="s">
        <v>152</v>
      </c>
      <c r="BD21" t="s">
        <v>118</v>
      </c>
      <c r="BE21" t="s">
        <v>167</v>
      </c>
      <c r="BI21" t="s">
        <v>181</v>
      </c>
      <c r="BJ21" t="s">
        <v>181</v>
      </c>
      <c r="BK21" t="s">
        <v>345</v>
      </c>
      <c r="BL21">
        <v>2</v>
      </c>
      <c r="CA21" t="s">
        <v>148</v>
      </c>
      <c r="CB21" t="s">
        <v>116</v>
      </c>
      <c r="CC21" t="s">
        <v>149</v>
      </c>
      <c r="CD21" t="s">
        <v>124</v>
      </c>
      <c r="CL21">
        <v>0</v>
      </c>
    </row>
    <row r="22" spans="1:90" ht="15" thickBot="1">
      <c r="A22" t="s">
        <v>150</v>
      </c>
      <c r="B22" t="s">
        <v>151</v>
      </c>
      <c r="C22" t="s">
        <v>152</v>
      </c>
      <c r="D22" t="s">
        <v>124</v>
      </c>
      <c r="E22" t="s">
        <v>153</v>
      </c>
      <c r="K22" t="s">
        <v>154</v>
      </c>
      <c r="L22">
        <v>0</v>
      </c>
      <c r="S22" s="40" t="s">
        <v>1159</v>
      </c>
      <c r="T22" s="31">
        <f t="shared" ref="T22:Y22" si="25">T21/$Y$21</f>
        <v>0.56942823803967324</v>
      </c>
      <c r="U22" s="31">
        <f t="shared" si="25"/>
        <v>4.0840140023337225E-2</v>
      </c>
      <c r="V22" s="31">
        <f t="shared" si="25"/>
        <v>0.3500583430571762</v>
      </c>
      <c r="W22" s="31">
        <f t="shared" si="25"/>
        <v>8.1680280046674443E-3</v>
      </c>
      <c r="X22" s="53">
        <f t="shared" si="25"/>
        <v>3.1505250875145857E-2</v>
      </c>
      <c r="Y22" s="54">
        <f t="shared" si="25"/>
        <v>1</v>
      </c>
      <c r="Z22" s="30"/>
      <c r="AA22" s="31">
        <f>AA21/$Y$21</f>
        <v>0.96032672112018669</v>
      </c>
      <c r="AB22" s="31">
        <f>AB21/$Y$21</f>
        <v>3.9673278879813305E-2</v>
      </c>
      <c r="AD22" s="42">
        <v>3</v>
      </c>
      <c r="AE22" s="28">
        <f t="shared" si="19"/>
        <v>0</v>
      </c>
      <c r="AF22" s="28">
        <f t="shared" si="19"/>
        <v>0</v>
      </c>
      <c r="AG22" s="28">
        <f t="shared" si="19"/>
        <v>1</v>
      </c>
      <c r="AH22" s="28">
        <f t="shared" si="19"/>
        <v>7</v>
      </c>
      <c r="AI22" s="28">
        <f t="shared" si="19"/>
        <v>3</v>
      </c>
      <c r="AJ22" s="28">
        <f t="shared" si="19"/>
        <v>2</v>
      </c>
      <c r="AK22" s="43">
        <f t="shared" si="19"/>
        <v>8</v>
      </c>
      <c r="AL22" s="28">
        <f t="shared" si="20"/>
        <v>21</v>
      </c>
      <c r="AM22" s="72">
        <f t="shared" si="22"/>
        <v>0.14285714285714285</v>
      </c>
      <c r="AN22" s="75">
        <f t="shared" si="21"/>
        <v>20.785714285714285</v>
      </c>
      <c r="BA22" t="s">
        <v>346</v>
      </c>
      <c r="BB22" t="s">
        <v>151</v>
      </c>
      <c r="BC22" t="s">
        <v>152</v>
      </c>
      <c r="BD22" t="s">
        <v>118</v>
      </c>
      <c r="BE22" t="s">
        <v>167</v>
      </c>
      <c r="BI22" t="s">
        <v>181</v>
      </c>
      <c r="BJ22" t="s">
        <v>181</v>
      </c>
      <c r="BK22" t="s">
        <v>347</v>
      </c>
      <c r="BL22">
        <v>2</v>
      </c>
      <c r="CA22" t="s">
        <v>158</v>
      </c>
      <c r="CB22" t="s">
        <v>151</v>
      </c>
      <c r="CC22" t="s">
        <v>152</v>
      </c>
      <c r="CD22" t="s">
        <v>118</v>
      </c>
      <c r="CL22">
        <v>0</v>
      </c>
    </row>
    <row r="23" spans="1:90">
      <c r="A23" t="s">
        <v>155</v>
      </c>
      <c r="B23" t="s">
        <v>151</v>
      </c>
      <c r="C23" t="s">
        <v>149</v>
      </c>
      <c r="D23" t="s">
        <v>118</v>
      </c>
      <c r="E23" t="s">
        <v>153</v>
      </c>
      <c r="J23" t="s">
        <v>156</v>
      </c>
      <c r="K23" t="s">
        <v>157</v>
      </c>
      <c r="L23">
        <v>0</v>
      </c>
      <c r="AD23" s="42">
        <v>4</v>
      </c>
      <c r="AE23" s="28">
        <f t="shared" si="19"/>
        <v>1</v>
      </c>
      <c r="AF23" s="28">
        <f t="shared" si="19"/>
        <v>0</v>
      </c>
      <c r="AG23" s="28">
        <f t="shared" si="19"/>
        <v>2</v>
      </c>
      <c r="AH23" s="28">
        <f t="shared" si="19"/>
        <v>1</v>
      </c>
      <c r="AI23" s="28">
        <f t="shared" si="19"/>
        <v>0</v>
      </c>
      <c r="AJ23" s="28">
        <f t="shared" si="19"/>
        <v>2</v>
      </c>
      <c r="AK23" s="43">
        <f t="shared" si="19"/>
        <v>3</v>
      </c>
      <c r="AL23" s="28">
        <f t="shared" si="20"/>
        <v>9</v>
      </c>
      <c r="AM23" s="72">
        <f t="shared" si="22"/>
        <v>6.1224489795918366E-2</v>
      </c>
      <c r="AN23" s="75">
        <f t="shared" si="21"/>
        <v>18.055555555555557</v>
      </c>
      <c r="BA23" t="s">
        <v>373</v>
      </c>
      <c r="BB23" t="s">
        <v>151</v>
      </c>
      <c r="BC23" t="s">
        <v>152</v>
      </c>
      <c r="BD23" t="s">
        <v>124</v>
      </c>
      <c r="BJ23" t="s">
        <v>186</v>
      </c>
      <c r="BL23">
        <v>2</v>
      </c>
      <c r="CA23" t="s">
        <v>159</v>
      </c>
      <c r="CB23" t="s">
        <v>160</v>
      </c>
      <c r="CC23" t="s">
        <v>117</v>
      </c>
      <c r="CD23" t="s">
        <v>138</v>
      </c>
      <c r="CL23">
        <v>0</v>
      </c>
    </row>
    <row r="24" spans="1:90">
      <c r="A24" t="s">
        <v>158</v>
      </c>
      <c r="B24" t="s">
        <v>151</v>
      </c>
      <c r="C24" t="s">
        <v>152</v>
      </c>
      <c r="D24" t="s">
        <v>118</v>
      </c>
      <c r="L24">
        <v>0</v>
      </c>
      <c r="AD24" s="42">
        <v>5</v>
      </c>
      <c r="AE24" s="28">
        <f t="shared" si="19"/>
        <v>0</v>
      </c>
      <c r="AF24" s="28">
        <f t="shared" si="19"/>
        <v>1</v>
      </c>
      <c r="AG24" s="28">
        <f t="shared" si="19"/>
        <v>0</v>
      </c>
      <c r="AH24" s="28">
        <f t="shared" si="19"/>
        <v>0</v>
      </c>
      <c r="AI24" s="28">
        <f t="shared" si="19"/>
        <v>0</v>
      </c>
      <c r="AJ24" s="28">
        <f t="shared" si="19"/>
        <v>1</v>
      </c>
      <c r="AK24" s="46">
        <f t="shared" si="19"/>
        <v>0</v>
      </c>
      <c r="AL24" s="28">
        <f t="shared" si="20"/>
        <v>2</v>
      </c>
      <c r="AM24" s="73">
        <f t="shared" si="22"/>
        <v>1.3605442176870748E-2</v>
      </c>
      <c r="AN24" s="75">
        <f t="shared" si="21"/>
        <v>9.75</v>
      </c>
      <c r="BA24" t="s">
        <v>374</v>
      </c>
      <c r="BB24" t="s">
        <v>151</v>
      </c>
      <c r="BC24" t="s">
        <v>152</v>
      </c>
      <c r="BD24" t="s">
        <v>118</v>
      </c>
      <c r="BJ24" t="s">
        <v>168</v>
      </c>
      <c r="BK24" t="s">
        <v>375</v>
      </c>
      <c r="BL24">
        <v>2</v>
      </c>
      <c r="CA24" t="s">
        <v>161</v>
      </c>
      <c r="CB24" t="s">
        <v>162</v>
      </c>
      <c r="CC24" t="s">
        <v>152</v>
      </c>
      <c r="CD24" t="s">
        <v>118</v>
      </c>
      <c r="CF24" t="s">
        <v>163</v>
      </c>
      <c r="CH24" t="s">
        <v>164</v>
      </c>
      <c r="CL24">
        <v>0</v>
      </c>
    </row>
    <row r="25" spans="1:90">
      <c r="A25" t="s">
        <v>159</v>
      </c>
      <c r="B25" t="s">
        <v>160</v>
      </c>
      <c r="C25" t="s">
        <v>117</v>
      </c>
      <c r="D25" t="s">
        <v>138</v>
      </c>
      <c r="L25">
        <v>0</v>
      </c>
      <c r="AD25" s="37" t="s">
        <v>1184</v>
      </c>
      <c r="AE25" s="70">
        <f>SUM(AE19:AE24)</f>
        <v>15</v>
      </c>
      <c r="AF25" s="49">
        <f t="shared" ref="AF25" si="26">SUM(AF19:AF24)</f>
        <v>28</v>
      </c>
      <c r="AG25" s="49">
        <f t="shared" ref="AG25" si="27">SUM(AG19:AG24)</f>
        <v>12</v>
      </c>
      <c r="AH25" s="49">
        <f t="shared" ref="AH25" si="28">SUM(AH19:AH24)</f>
        <v>27</v>
      </c>
      <c r="AI25" s="49">
        <f t="shared" ref="AI25" si="29">SUM(AI19:AI24)</f>
        <v>11</v>
      </c>
      <c r="AJ25" s="49">
        <f t="shared" ref="AJ25" si="30">SUM(AJ19:AJ24)</f>
        <v>15</v>
      </c>
      <c r="AK25" s="50">
        <f t="shared" ref="AK25" si="31">SUM(AK19:AK24)</f>
        <v>39</v>
      </c>
      <c r="AL25" s="49">
        <f>SUM(AL19:AL24)</f>
        <v>147</v>
      </c>
      <c r="AM25" s="72">
        <f t="shared" si="22"/>
        <v>1</v>
      </c>
      <c r="AN25" s="76">
        <f>(AE25*$AE$2+AF25*$AF$2+AG25*$AG$2+AH25*$AH$2+AI25*$AI$2+AJ25*$AJ$2+AK25*$AK$2)/AL25</f>
        <v>14.86734693877551</v>
      </c>
      <c r="BA25" t="s">
        <v>376</v>
      </c>
      <c r="BB25" t="s">
        <v>151</v>
      </c>
      <c r="BC25" t="s">
        <v>152</v>
      </c>
      <c r="BD25" t="s">
        <v>118</v>
      </c>
      <c r="BF25" t="s">
        <v>163</v>
      </c>
      <c r="BH25" t="s">
        <v>164</v>
      </c>
      <c r="BJ25" t="s">
        <v>221</v>
      </c>
      <c r="BK25" t="s">
        <v>377</v>
      </c>
      <c r="BL25">
        <v>2</v>
      </c>
      <c r="CA25" t="s">
        <v>165</v>
      </c>
      <c r="CB25" t="s">
        <v>162</v>
      </c>
      <c r="CC25" t="s">
        <v>149</v>
      </c>
      <c r="CD25" t="s">
        <v>118</v>
      </c>
      <c r="CL25">
        <v>0</v>
      </c>
    </row>
    <row r="26" spans="1:90" ht="16.5" thickBot="1">
      <c r="A26" t="s">
        <v>161</v>
      </c>
      <c r="B26" t="s">
        <v>162</v>
      </c>
      <c r="C26" t="s">
        <v>152</v>
      </c>
      <c r="D26" t="s">
        <v>118</v>
      </c>
      <c r="F26" t="s">
        <v>163</v>
      </c>
      <c r="H26" t="s">
        <v>164</v>
      </c>
      <c r="L26">
        <v>0</v>
      </c>
      <c r="S26" s="658" t="s">
        <v>1193</v>
      </c>
      <c r="T26" s="658"/>
      <c r="U26" s="658"/>
      <c r="V26" s="658"/>
      <c r="W26" s="658"/>
      <c r="X26" s="658"/>
      <c r="Y26" s="658"/>
      <c r="Z26" s="658"/>
      <c r="AA26" s="658"/>
      <c r="AB26" s="658"/>
      <c r="AD26" s="40" t="s">
        <v>1184</v>
      </c>
      <c r="AE26" s="31">
        <f>AE25/$AL$25</f>
        <v>0.10204081632653061</v>
      </c>
      <c r="AF26" s="31">
        <f t="shared" ref="AF26:AK26" si="32">AF25/$AL$25</f>
        <v>0.19047619047619047</v>
      </c>
      <c r="AG26" s="31">
        <f t="shared" si="32"/>
        <v>8.1632653061224483E-2</v>
      </c>
      <c r="AH26" s="31">
        <f t="shared" si="32"/>
        <v>0.18367346938775511</v>
      </c>
      <c r="AI26" s="31">
        <f t="shared" si="32"/>
        <v>7.4829931972789115E-2</v>
      </c>
      <c r="AJ26" s="31">
        <f t="shared" si="32"/>
        <v>0.10204081632653061</v>
      </c>
      <c r="AK26" s="53">
        <f t="shared" si="32"/>
        <v>0.26530612244897961</v>
      </c>
      <c r="AL26" s="31">
        <f>AL25/$AL$10</f>
        <v>0.57874015748031493</v>
      </c>
      <c r="AM26" s="53"/>
      <c r="BA26" t="s">
        <v>378</v>
      </c>
      <c r="BB26" t="s">
        <v>151</v>
      </c>
      <c r="BC26" t="s">
        <v>149</v>
      </c>
      <c r="BD26" t="s">
        <v>118</v>
      </c>
      <c r="BE26" t="s">
        <v>167</v>
      </c>
      <c r="BJ26" t="s">
        <v>181</v>
      </c>
      <c r="BK26" t="s">
        <v>379</v>
      </c>
      <c r="BL26">
        <v>2</v>
      </c>
      <c r="CA26" t="s">
        <v>166</v>
      </c>
      <c r="CB26" t="s">
        <v>151</v>
      </c>
      <c r="CC26" t="s">
        <v>152</v>
      </c>
      <c r="CD26" t="s">
        <v>124</v>
      </c>
      <c r="CE26" t="s">
        <v>167</v>
      </c>
      <c r="CI26" t="s">
        <v>168</v>
      </c>
      <c r="CJ26" t="s">
        <v>156</v>
      </c>
      <c r="CK26" t="s">
        <v>169</v>
      </c>
      <c r="CL26">
        <v>0</v>
      </c>
    </row>
    <row r="27" spans="1:90" ht="45">
      <c r="A27" t="s">
        <v>165</v>
      </c>
      <c r="B27" t="s">
        <v>162</v>
      </c>
      <c r="C27" t="s">
        <v>149</v>
      </c>
      <c r="D27" t="s">
        <v>118</v>
      </c>
      <c r="L27">
        <v>0</v>
      </c>
      <c r="S27" s="38" t="s">
        <v>133</v>
      </c>
      <c r="T27" s="27" t="s">
        <v>117</v>
      </c>
      <c r="U27" s="27" t="s">
        <v>134</v>
      </c>
      <c r="V27" s="27" t="s">
        <v>120</v>
      </c>
      <c r="W27" s="27" t="s">
        <v>135</v>
      </c>
      <c r="X27" s="34" t="s">
        <v>136</v>
      </c>
      <c r="Y27" s="36" t="s">
        <v>1157</v>
      </c>
      <c r="Z27" s="27" t="s">
        <v>1160</v>
      </c>
      <c r="AA27" s="27" t="s">
        <v>1164</v>
      </c>
      <c r="AB27" s="27" t="s">
        <v>1165</v>
      </c>
      <c r="AD27" t="s">
        <v>1186</v>
      </c>
      <c r="AE27" s="75">
        <f t="shared" ref="AE27:AL27" si="33">(AE19*$AD$4+AE20*$AD$5+AE21*$AD$6+AE22*$AD$7+AE23*$AD$8+AE24*$AD$9)/AE25</f>
        <v>1.7333333333333334</v>
      </c>
      <c r="AF27" s="75">
        <f t="shared" si="33"/>
        <v>1.8928571428571428</v>
      </c>
      <c r="AG27" s="75">
        <f t="shared" si="33"/>
        <v>2.25</v>
      </c>
      <c r="AH27" s="75">
        <f t="shared" si="33"/>
        <v>2.3333333333333335</v>
      </c>
      <c r="AI27" s="75">
        <f t="shared" si="33"/>
        <v>2.2727272727272729</v>
      </c>
      <c r="AJ27" s="75">
        <f t="shared" si="33"/>
        <v>2.5333333333333332</v>
      </c>
      <c r="AK27" s="75">
        <f t="shared" si="33"/>
        <v>2.3076923076923075</v>
      </c>
      <c r="AL27" s="75">
        <f t="shared" si="33"/>
        <v>2.1904761904761907</v>
      </c>
      <c r="BA27" t="s">
        <v>383</v>
      </c>
      <c r="BB27" t="s">
        <v>151</v>
      </c>
      <c r="BC27" t="s">
        <v>152</v>
      </c>
      <c r="BD27" t="s">
        <v>118</v>
      </c>
      <c r="BE27" t="s">
        <v>167</v>
      </c>
      <c r="BJ27" t="s">
        <v>168</v>
      </c>
      <c r="BK27" t="s">
        <v>384</v>
      </c>
      <c r="BL27">
        <v>2</v>
      </c>
      <c r="CA27" t="s">
        <v>170</v>
      </c>
      <c r="CB27" t="s">
        <v>151</v>
      </c>
      <c r="CC27" t="s">
        <v>152</v>
      </c>
      <c r="CD27" t="s">
        <v>118</v>
      </c>
      <c r="CL27">
        <v>0</v>
      </c>
    </row>
    <row r="28" spans="1:90">
      <c r="A28" t="s">
        <v>166</v>
      </c>
      <c r="B28" t="s">
        <v>151</v>
      </c>
      <c r="C28" t="s">
        <v>152</v>
      </c>
      <c r="D28" t="s">
        <v>124</v>
      </c>
      <c r="E28" t="s">
        <v>167</v>
      </c>
      <c r="I28" t="s">
        <v>168</v>
      </c>
      <c r="J28" t="s">
        <v>156</v>
      </c>
      <c r="K28" t="s">
        <v>169</v>
      </c>
      <c r="L28">
        <v>0</v>
      </c>
      <c r="S28" s="35" t="s">
        <v>138</v>
      </c>
      <c r="T28" s="28">
        <f>COUNTIFS($CC:$CC,T$27,$CD:$CD,$S28)</f>
        <v>9</v>
      </c>
      <c r="U28" s="28">
        <f t="shared" ref="U28:X32" si="34">COUNTIFS($CC:$CC,U$27,$CD:$CD,$S28)</f>
        <v>0</v>
      </c>
      <c r="V28" s="28">
        <f t="shared" si="34"/>
        <v>4</v>
      </c>
      <c r="W28" s="28">
        <f t="shared" si="34"/>
        <v>0</v>
      </c>
      <c r="X28" s="28">
        <f t="shared" si="34"/>
        <v>0</v>
      </c>
      <c r="Y28" s="44">
        <f>SUM(T28:X28)</f>
        <v>13</v>
      </c>
      <c r="Z28" s="29">
        <f>Y28/$Y$34</f>
        <v>1.7195767195767195E-2</v>
      </c>
      <c r="AA28" s="28">
        <f t="shared" ref="AA28:AA33" si="35">T28+U28+V28</f>
        <v>13</v>
      </c>
      <c r="AB28" s="28">
        <f t="shared" ref="AB28:AB33" si="36">W28+X28</f>
        <v>0</v>
      </c>
      <c r="BA28" t="s">
        <v>385</v>
      </c>
      <c r="BB28" t="s">
        <v>151</v>
      </c>
      <c r="BC28" t="s">
        <v>152</v>
      </c>
      <c r="BD28" t="s">
        <v>124</v>
      </c>
      <c r="BE28" t="s">
        <v>167</v>
      </c>
      <c r="BJ28" t="s">
        <v>189</v>
      </c>
      <c r="BK28" t="s">
        <v>386</v>
      </c>
      <c r="BL28">
        <v>2</v>
      </c>
      <c r="CA28" s="33" t="s">
        <v>171</v>
      </c>
      <c r="CB28" s="33" t="s">
        <v>172</v>
      </c>
      <c r="CC28" s="33" t="s">
        <v>149</v>
      </c>
      <c r="CD28" s="33" t="s">
        <v>118</v>
      </c>
      <c r="CE28" s="33"/>
      <c r="CF28" s="33"/>
      <c r="CG28" s="33"/>
      <c r="CH28" s="33"/>
      <c r="CL28">
        <v>0</v>
      </c>
    </row>
    <row r="29" spans="1:90">
      <c r="A29" t="s">
        <v>170</v>
      </c>
      <c r="B29" t="s">
        <v>151</v>
      </c>
      <c r="C29" t="s">
        <v>152</v>
      </c>
      <c r="D29" t="s">
        <v>118</v>
      </c>
      <c r="L29">
        <v>0</v>
      </c>
      <c r="S29" s="35" t="s">
        <v>118</v>
      </c>
      <c r="T29" s="28">
        <f t="shared" ref="T29:T32" si="37">COUNTIFS($CC:$CC,T$27,$CD:$CD,$S29)</f>
        <v>234</v>
      </c>
      <c r="U29" s="28">
        <f t="shared" si="34"/>
        <v>9</v>
      </c>
      <c r="V29" s="28">
        <f t="shared" si="34"/>
        <v>144</v>
      </c>
      <c r="W29" s="28">
        <f t="shared" si="34"/>
        <v>4</v>
      </c>
      <c r="X29" s="28">
        <f t="shared" si="34"/>
        <v>7</v>
      </c>
      <c r="Y29" s="44">
        <f t="shared" ref="Y29:Y32" si="38">SUM(T29:X29)</f>
        <v>398</v>
      </c>
      <c r="Z29" s="29">
        <f t="shared" ref="Z29:Z33" si="39">Y29/$Y$34</f>
        <v>0.52645502645502651</v>
      </c>
      <c r="AA29" s="28">
        <f t="shared" si="35"/>
        <v>387</v>
      </c>
      <c r="AB29" s="28">
        <f t="shared" si="36"/>
        <v>11</v>
      </c>
      <c r="AE29" s="69">
        <f>AE26</f>
        <v>0.10204081632653061</v>
      </c>
      <c r="AF29" s="69">
        <f t="shared" ref="AF29:AK29" si="40">AE29+AF26</f>
        <v>0.29251700680272108</v>
      </c>
      <c r="AG29" s="69">
        <f t="shared" si="40"/>
        <v>0.37414965986394555</v>
      </c>
      <c r="AH29" s="69">
        <f t="shared" si="40"/>
        <v>0.55782312925170063</v>
      </c>
      <c r="AI29" s="69">
        <f t="shared" si="40"/>
        <v>0.63265306122448972</v>
      </c>
      <c r="AJ29" s="69">
        <f t="shared" si="40"/>
        <v>0.73469387755102034</v>
      </c>
      <c r="AK29" s="69">
        <f t="shared" si="40"/>
        <v>1</v>
      </c>
      <c r="AM29" s="69">
        <f>SUM(AM19:AM24)</f>
        <v>0.99999999999999989</v>
      </c>
      <c r="BA29" t="s">
        <v>406</v>
      </c>
      <c r="BB29" t="s">
        <v>151</v>
      </c>
      <c r="BC29" t="s">
        <v>152</v>
      </c>
      <c r="BD29" t="s">
        <v>124</v>
      </c>
      <c r="BE29" t="s">
        <v>167</v>
      </c>
      <c r="BI29" t="s">
        <v>181</v>
      </c>
      <c r="BJ29" t="s">
        <v>156</v>
      </c>
      <c r="BK29" t="s">
        <v>306</v>
      </c>
      <c r="BL29">
        <v>2</v>
      </c>
      <c r="CA29" t="s">
        <v>173</v>
      </c>
      <c r="CB29" t="s">
        <v>116</v>
      </c>
      <c r="CC29" t="s">
        <v>149</v>
      </c>
      <c r="CD29" t="s">
        <v>118</v>
      </c>
      <c r="CL29">
        <v>1</v>
      </c>
    </row>
    <row r="30" spans="1:90">
      <c r="A30" s="33" t="s">
        <v>171</v>
      </c>
      <c r="B30" s="33" t="s">
        <v>172</v>
      </c>
      <c r="C30" s="33" t="s">
        <v>149</v>
      </c>
      <c r="D30" s="33" t="s">
        <v>118</v>
      </c>
      <c r="E30" s="33"/>
      <c r="F30" s="33"/>
      <c r="G30" s="33"/>
      <c r="H30" s="33"/>
      <c r="L30">
        <v>0</v>
      </c>
      <c r="S30" s="35" t="s">
        <v>124</v>
      </c>
      <c r="T30" s="28">
        <f t="shared" si="37"/>
        <v>163</v>
      </c>
      <c r="U30" s="28">
        <f t="shared" si="34"/>
        <v>16</v>
      </c>
      <c r="V30" s="28">
        <f t="shared" si="34"/>
        <v>97</v>
      </c>
      <c r="W30" s="28">
        <f t="shared" si="34"/>
        <v>2</v>
      </c>
      <c r="X30" s="28">
        <f t="shared" si="34"/>
        <v>13</v>
      </c>
      <c r="Y30" s="44">
        <f t="shared" si="38"/>
        <v>291</v>
      </c>
      <c r="Z30" s="29">
        <f>Y30/$Y$34</f>
        <v>0.38492063492063494</v>
      </c>
      <c r="AA30" s="28">
        <f t="shared" si="35"/>
        <v>276</v>
      </c>
      <c r="AB30" s="28">
        <f t="shared" si="36"/>
        <v>15</v>
      </c>
      <c r="BA30" t="s">
        <v>408</v>
      </c>
      <c r="BB30" t="s">
        <v>151</v>
      </c>
      <c r="BC30" t="s">
        <v>152</v>
      </c>
      <c r="BD30" t="s">
        <v>124</v>
      </c>
      <c r="BE30" t="s">
        <v>167</v>
      </c>
      <c r="BI30" t="s">
        <v>168</v>
      </c>
      <c r="BJ30" t="s">
        <v>168</v>
      </c>
      <c r="BK30" t="s">
        <v>409</v>
      </c>
      <c r="BL30">
        <v>2</v>
      </c>
      <c r="CA30" t="s">
        <v>174</v>
      </c>
      <c r="CB30" t="s">
        <v>175</v>
      </c>
      <c r="CC30" t="s">
        <v>152</v>
      </c>
      <c r="CD30" t="s">
        <v>138</v>
      </c>
      <c r="CL30">
        <v>1</v>
      </c>
    </row>
    <row r="31" spans="1:90">
      <c r="A31" t="s">
        <v>173</v>
      </c>
      <c r="B31" t="s">
        <v>116</v>
      </c>
      <c r="C31" t="s">
        <v>149</v>
      </c>
      <c r="D31" t="s">
        <v>118</v>
      </c>
      <c r="L31">
        <v>1</v>
      </c>
      <c r="S31" s="35" t="s">
        <v>132</v>
      </c>
      <c r="T31" s="28">
        <f t="shared" si="37"/>
        <v>25</v>
      </c>
      <c r="U31" s="28">
        <f t="shared" si="34"/>
        <v>5</v>
      </c>
      <c r="V31" s="28">
        <f t="shared" si="34"/>
        <v>9</v>
      </c>
      <c r="W31" s="28">
        <f t="shared" si="34"/>
        <v>1</v>
      </c>
      <c r="X31" s="28">
        <f t="shared" si="34"/>
        <v>5</v>
      </c>
      <c r="Y31" s="44">
        <f t="shared" si="38"/>
        <v>45</v>
      </c>
      <c r="Z31" s="29">
        <f t="shared" si="39"/>
        <v>5.9523809523809521E-2</v>
      </c>
      <c r="AA31" s="28">
        <f t="shared" si="35"/>
        <v>39</v>
      </c>
      <c r="AB31" s="28">
        <f t="shared" si="36"/>
        <v>6</v>
      </c>
      <c r="BA31" t="s">
        <v>414</v>
      </c>
      <c r="BB31" t="s">
        <v>151</v>
      </c>
      <c r="BC31" t="s">
        <v>149</v>
      </c>
      <c r="BD31" t="s">
        <v>124</v>
      </c>
      <c r="BE31" t="s">
        <v>167</v>
      </c>
      <c r="BI31" t="s">
        <v>156</v>
      </c>
      <c r="BJ31" t="s">
        <v>156</v>
      </c>
      <c r="BK31" t="s">
        <v>415</v>
      </c>
      <c r="BL31">
        <v>2</v>
      </c>
      <c r="CA31" s="33" t="s">
        <v>176</v>
      </c>
      <c r="CB31" s="33" t="s">
        <v>172</v>
      </c>
      <c r="CC31" s="33" t="s">
        <v>152</v>
      </c>
      <c r="CD31" s="33" t="s">
        <v>124</v>
      </c>
      <c r="CE31" s="33"/>
      <c r="CF31" s="33"/>
      <c r="CG31" s="33"/>
      <c r="CH31" s="33"/>
      <c r="CL31">
        <v>1</v>
      </c>
    </row>
    <row r="32" spans="1:90">
      <c r="A32" t="s">
        <v>174</v>
      </c>
      <c r="B32" t="s">
        <v>175</v>
      </c>
      <c r="C32" t="s">
        <v>152</v>
      </c>
      <c r="D32" t="s">
        <v>138</v>
      </c>
      <c r="L32">
        <v>1</v>
      </c>
      <c r="S32" s="35" t="s">
        <v>143</v>
      </c>
      <c r="T32" s="28">
        <f t="shared" si="37"/>
        <v>5</v>
      </c>
      <c r="U32" s="28">
        <f t="shared" si="34"/>
        <v>1</v>
      </c>
      <c r="V32" s="28">
        <f t="shared" si="34"/>
        <v>0</v>
      </c>
      <c r="W32" s="28">
        <f t="shared" si="34"/>
        <v>0</v>
      </c>
      <c r="X32" s="28">
        <f t="shared" si="34"/>
        <v>2</v>
      </c>
      <c r="Y32" s="44">
        <f t="shared" si="38"/>
        <v>8</v>
      </c>
      <c r="Z32" s="29">
        <f t="shared" si="39"/>
        <v>1.0582010582010581E-2</v>
      </c>
      <c r="AA32" s="28">
        <f t="shared" si="35"/>
        <v>6</v>
      </c>
      <c r="AB32" s="28">
        <f>W32+X32</f>
        <v>2</v>
      </c>
      <c r="BA32" t="s">
        <v>417</v>
      </c>
      <c r="BB32" t="s">
        <v>151</v>
      </c>
      <c r="BC32" t="s">
        <v>152</v>
      </c>
      <c r="BD32" t="s">
        <v>124</v>
      </c>
      <c r="BE32" t="s">
        <v>167</v>
      </c>
      <c r="BI32" t="s">
        <v>418</v>
      </c>
      <c r="BJ32" t="s">
        <v>418</v>
      </c>
      <c r="BK32" t="s">
        <v>419</v>
      </c>
      <c r="BL32">
        <v>2</v>
      </c>
      <c r="CA32" t="s">
        <v>178</v>
      </c>
      <c r="CB32" t="s">
        <v>151</v>
      </c>
      <c r="CC32" t="s">
        <v>149</v>
      </c>
      <c r="CD32" t="s">
        <v>132</v>
      </c>
      <c r="CL32">
        <v>1</v>
      </c>
    </row>
    <row r="33" spans="1:90">
      <c r="A33" s="33" t="s">
        <v>176</v>
      </c>
      <c r="B33" s="33" t="s">
        <v>172</v>
      </c>
      <c r="C33" s="33" t="s">
        <v>152</v>
      </c>
      <c r="D33" s="33" t="s">
        <v>124</v>
      </c>
      <c r="E33" s="33"/>
      <c r="F33" s="33"/>
      <c r="G33" s="33"/>
      <c r="H33" s="33"/>
      <c r="L33">
        <v>1</v>
      </c>
      <c r="S33" s="39" t="s">
        <v>145</v>
      </c>
      <c r="T33" s="28">
        <v>1</v>
      </c>
      <c r="U33" s="28">
        <v>0</v>
      </c>
      <c r="V33" s="28">
        <v>0</v>
      </c>
      <c r="W33" s="28">
        <v>0</v>
      </c>
      <c r="X33" s="28">
        <v>0</v>
      </c>
      <c r="Y33" s="47">
        <f>SUM(T33:X33)</f>
        <v>1</v>
      </c>
      <c r="Z33" s="48">
        <f t="shared" si="39"/>
        <v>1.3227513227513227E-3</v>
      </c>
      <c r="AA33" s="45">
        <f t="shared" si="35"/>
        <v>1</v>
      </c>
      <c r="AB33" s="28">
        <f t="shared" si="36"/>
        <v>0</v>
      </c>
      <c r="BA33" t="s">
        <v>399</v>
      </c>
      <c r="BB33" t="s">
        <v>151</v>
      </c>
      <c r="BC33" t="s">
        <v>277</v>
      </c>
      <c r="BD33" t="s">
        <v>143</v>
      </c>
      <c r="BE33" t="s">
        <v>167</v>
      </c>
      <c r="BI33" t="s">
        <v>186</v>
      </c>
      <c r="BJ33" t="s">
        <v>181</v>
      </c>
      <c r="BK33" t="s">
        <v>420</v>
      </c>
      <c r="BL33">
        <v>2</v>
      </c>
      <c r="CA33" t="s">
        <v>183</v>
      </c>
      <c r="CB33" t="s">
        <v>151</v>
      </c>
      <c r="CC33" t="s">
        <v>149</v>
      </c>
      <c r="CD33" t="s">
        <v>124</v>
      </c>
      <c r="CL33">
        <v>1</v>
      </c>
    </row>
    <row r="34" spans="1:90">
      <c r="A34" t="s">
        <v>177</v>
      </c>
      <c r="B34" t="s">
        <v>151</v>
      </c>
      <c r="C34" t="s">
        <v>149</v>
      </c>
      <c r="D34" t="s">
        <v>118</v>
      </c>
      <c r="E34" t="s">
        <v>153</v>
      </c>
      <c r="I34" t="s">
        <v>156</v>
      </c>
      <c r="J34" t="s">
        <v>156</v>
      </c>
      <c r="K34" t="s">
        <v>157</v>
      </c>
      <c r="L34">
        <v>1</v>
      </c>
      <c r="S34" s="37" t="s">
        <v>1158</v>
      </c>
      <c r="T34" s="49">
        <f>SUM(T28:T33)</f>
        <v>437</v>
      </c>
      <c r="U34" s="49">
        <f t="shared" ref="U34:X34" si="41">SUM(U28:U33)</f>
        <v>31</v>
      </c>
      <c r="V34" s="49">
        <f t="shared" si="41"/>
        <v>254</v>
      </c>
      <c r="W34" s="49">
        <f t="shared" si="41"/>
        <v>7</v>
      </c>
      <c r="X34" s="50">
        <f t="shared" si="41"/>
        <v>27</v>
      </c>
      <c r="Y34" s="51">
        <f>SUM(Y28:Y33)</f>
        <v>756</v>
      </c>
      <c r="Z34" s="52">
        <f>Y34/$Y$34</f>
        <v>1</v>
      </c>
      <c r="AA34" s="49">
        <f t="shared" ref="AA34" si="42">SUM(AA28:AA33)</f>
        <v>722</v>
      </c>
      <c r="AB34" s="49">
        <f>SUM(AB28:AB33)</f>
        <v>34</v>
      </c>
      <c r="BA34" t="s">
        <v>423</v>
      </c>
      <c r="BB34" t="s">
        <v>151</v>
      </c>
      <c r="BC34" t="s">
        <v>152</v>
      </c>
      <c r="BD34" t="s">
        <v>124</v>
      </c>
      <c r="BE34" t="s">
        <v>167</v>
      </c>
      <c r="BI34" t="s">
        <v>168</v>
      </c>
      <c r="BJ34" t="s">
        <v>168</v>
      </c>
      <c r="BK34" t="s">
        <v>424</v>
      </c>
      <c r="BL34">
        <v>2</v>
      </c>
      <c r="CA34" t="s">
        <v>184</v>
      </c>
      <c r="CB34" t="s">
        <v>151</v>
      </c>
      <c r="CC34" t="s">
        <v>152</v>
      </c>
      <c r="CD34" t="s">
        <v>118</v>
      </c>
      <c r="CL34">
        <v>1</v>
      </c>
    </row>
    <row r="35" spans="1:90" ht="15" thickBot="1">
      <c r="A35" t="s">
        <v>178</v>
      </c>
      <c r="B35" t="s">
        <v>151</v>
      </c>
      <c r="C35" t="s">
        <v>149</v>
      </c>
      <c r="D35" t="s">
        <v>132</v>
      </c>
      <c r="L35">
        <v>1</v>
      </c>
      <c r="S35" s="40" t="s">
        <v>1159</v>
      </c>
      <c r="T35" s="31">
        <f>T34/$Y$34</f>
        <v>0.57804232804232802</v>
      </c>
      <c r="U35" s="31">
        <f t="shared" ref="U35:X35" si="43">U34/$Y$34</f>
        <v>4.1005291005291003E-2</v>
      </c>
      <c r="V35" s="31">
        <f>V34/$Y$34</f>
        <v>0.33597883597883599</v>
      </c>
      <c r="W35" s="31">
        <f>W34/$Y$34</f>
        <v>9.2592592592592587E-3</v>
      </c>
      <c r="X35" s="31">
        <f t="shared" si="43"/>
        <v>3.5714285714285712E-2</v>
      </c>
      <c r="Y35" s="54">
        <f>Y34/$Y$34</f>
        <v>1</v>
      </c>
      <c r="Z35" s="30"/>
      <c r="AA35" s="31">
        <f>AA34/$Y$34</f>
        <v>0.955026455026455</v>
      </c>
      <c r="AB35" s="31">
        <f>AB34/$Y$34</f>
        <v>4.4973544973544971E-2</v>
      </c>
      <c r="BA35" t="s">
        <v>425</v>
      </c>
      <c r="BB35" t="s">
        <v>151</v>
      </c>
      <c r="BC35" t="s">
        <v>152</v>
      </c>
      <c r="BD35" t="s">
        <v>132</v>
      </c>
      <c r="BE35" t="s">
        <v>167</v>
      </c>
      <c r="BI35" t="s">
        <v>168</v>
      </c>
      <c r="BJ35" t="s">
        <v>168</v>
      </c>
      <c r="BK35" t="s">
        <v>192</v>
      </c>
      <c r="BL35">
        <v>2</v>
      </c>
      <c r="CA35" t="s">
        <v>188</v>
      </c>
      <c r="CB35" t="s">
        <v>151</v>
      </c>
      <c r="CC35" t="s">
        <v>149</v>
      </c>
      <c r="CD35" t="s">
        <v>124</v>
      </c>
      <c r="CI35" t="s">
        <v>189</v>
      </c>
      <c r="CJ35" t="s">
        <v>189</v>
      </c>
      <c r="CK35" t="s">
        <v>190</v>
      </c>
      <c r="CL35">
        <v>1</v>
      </c>
    </row>
    <row r="36" spans="1:90">
      <c r="A36" t="s">
        <v>179</v>
      </c>
      <c r="B36" t="s">
        <v>151</v>
      </c>
      <c r="C36" t="s">
        <v>149</v>
      </c>
      <c r="D36" t="s">
        <v>124</v>
      </c>
      <c r="E36" t="s">
        <v>180</v>
      </c>
      <c r="J36" t="s">
        <v>181</v>
      </c>
      <c r="K36" t="s">
        <v>182</v>
      </c>
      <c r="L36">
        <v>1</v>
      </c>
      <c r="BA36" t="s">
        <v>426</v>
      </c>
      <c r="BB36" t="s">
        <v>151</v>
      </c>
      <c r="BC36" t="s">
        <v>152</v>
      </c>
      <c r="BD36" t="s">
        <v>124</v>
      </c>
      <c r="BE36" t="s">
        <v>167</v>
      </c>
      <c r="BI36" t="s">
        <v>168</v>
      </c>
      <c r="BJ36" t="s">
        <v>168</v>
      </c>
      <c r="BK36" t="s">
        <v>222</v>
      </c>
      <c r="BL36">
        <v>2</v>
      </c>
      <c r="CA36" t="s">
        <v>191</v>
      </c>
      <c r="CB36" t="s">
        <v>151</v>
      </c>
      <c r="CC36" t="s">
        <v>149</v>
      </c>
      <c r="CD36" t="s">
        <v>118</v>
      </c>
      <c r="CI36" t="s">
        <v>181</v>
      </c>
      <c r="CJ36" t="s">
        <v>181</v>
      </c>
      <c r="CK36" t="s">
        <v>192</v>
      </c>
      <c r="CL36">
        <v>1</v>
      </c>
    </row>
    <row r="37" spans="1:90">
      <c r="A37" t="s">
        <v>183</v>
      </c>
      <c r="B37" t="s">
        <v>151</v>
      </c>
      <c r="C37" t="s">
        <v>149</v>
      </c>
      <c r="D37" t="s">
        <v>124</v>
      </c>
      <c r="L37">
        <v>1</v>
      </c>
      <c r="BA37" t="s">
        <v>429</v>
      </c>
      <c r="BB37" t="s">
        <v>151</v>
      </c>
      <c r="BC37" t="s">
        <v>152</v>
      </c>
      <c r="BD37" t="s">
        <v>132</v>
      </c>
      <c r="BE37" t="s">
        <v>167</v>
      </c>
      <c r="BI37" t="s">
        <v>181</v>
      </c>
      <c r="BJ37" t="s">
        <v>181</v>
      </c>
      <c r="BK37" t="s">
        <v>192</v>
      </c>
      <c r="BL37">
        <v>2</v>
      </c>
      <c r="CA37" t="s">
        <v>198</v>
      </c>
      <c r="CB37" t="s">
        <v>151</v>
      </c>
      <c r="CC37" t="s">
        <v>152</v>
      </c>
      <c r="CD37" t="s">
        <v>118</v>
      </c>
      <c r="CL37">
        <v>1</v>
      </c>
    </row>
    <row r="38" spans="1:90" ht="16.5" thickBot="1">
      <c r="A38" t="s">
        <v>184</v>
      </c>
      <c r="B38" t="s">
        <v>151</v>
      </c>
      <c r="C38" t="s">
        <v>152</v>
      </c>
      <c r="D38" t="s">
        <v>118</v>
      </c>
      <c r="L38">
        <v>1</v>
      </c>
      <c r="S38" s="658" t="s">
        <v>1193</v>
      </c>
      <c r="T38" s="658"/>
      <c r="U38" s="658"/>
      <c r="V38" s="658"/>
      <c r="W38" s="658"/>
      <c r="X38" s="658"/>
      <c r="Y38" s="658"/>
      <c r="Z38" s="658"/>
      <c r="AA38" s="658"/>
      <c r="BA38" t="s">
        <v>439</v>
      </c>
      <c r="BB38" t="s">
        <v>175</v>
      </c>
      <c r="BC38" t="s">
        <v>152</v>
      </c>
      <c r="BD38" t="s">
        <v>118</v>
      </c>
      <c r="BJ38" t="s">
        <v>168</v>
      </c>
      <c r="BK38" t="s">
        <v>440</v>
      </c>
      <c r="BL38">
        <v>2</v>
      </c>
      <c r="CA38" t="s">
        <v>199</v>
      </c>
      <c r="CB38" t="s">
        <v>151</v>
      </c>
      <c r="CC38" t="s">
        <v>149</v>
      </c>
      <c r="CD38" t="s">
        <v>118</v>
      </c>
      <c r="CE38" t="s">
        <v>167</v>
      </c>
      <c r="CJ38" t="s">
        <v>156</v>
      </c>
      <c r="CK38" t="s">
        <v>200</v>
      </c>
      <c r="CL38">
        <v>1</v>
      </c>
    </row>
    <row r="39" spans="1:90" ht="29.25" customHeight="1">
      <c r="A39" t="s">
        <v>185</v>
      </c>
      <c r="B39" t="s">
        <v>151</v>
      </c>
      <c r="C39" t="s">
        <v>149</v>
      </c>
      <c r="D39" t="s">
        <v>118</v>
      </c>
      <c r="E39" t="s">
        <v>153</v>
      </c>
      <c r="I39" t="s">
        <v>186</v>
      </c>
      <c r="J39" t="s">
        <v>181</v>
      </c>
      <c r="K39" t="s">
        <v>187</v>
      </c>
      <c r="L39">
        <v>1</v>
      </c>
      <c r="S39" s="38" t="s">
        <v>133</v>
      </c>
      <c r="T39" s="27">
        <v>0</v>
      </c>
      <c r="U39" s="27">
        <v>1</v>
      </c>
      <c r="V39" s="27">
        <v>2</v>
      </c>
      <c r="W39" s="27">
        <v>3</v>
      </c>
      <c r="X39" s="27">
        <v>4</v>
      </c>
      <c r="Y39" s="34">
        <v>5</v>
      </c>
      <c r="Z39" s="36" t="s">
        <v>1157</v>
      </c>
      <c r="AA39" s="27">
        <v>0</v>
      </c>
      <c r="AB39" s="27">
        <v>1</v>
      </c>
      <c r="AC39" s="27">
        <v>2</v>
      </c>
      <c r="AD39" s="27">
        <v>3</v>
      </c>
      <c r="AE39" s="27">
        <v>4</v>
      </c>
      <c r="AF39" s="34">
        <v>5</v>
      </c>
      <c r="AG39" s="36" t="s">
        <v>1157</v>
      </c>
      <c r="BA39" s="33" t="s">
        <v>441</v>
      </c>
      <c r="BB39" s="33" t="s">
        <v>172</v>
      </c>
      <c r="BC39" s="33" t="s">
        <v>152</v>
      </c>
      <c r="BD39" s="33" t="s">
        <v>132</v>
      </c>
      <c r="BE39" s="33" t="s">
        <v>167</v>
      </c>
      <c r="BF39" s="33"/>
      <c r="BG39" s="33"/>
      <c r="BH39" s="33"/>
      <c r="BI39" t="s">
        <v>181</v>
      </c>
      <c r="BJ39" t="s">
        <v>181</v>
      </c>
      <c r="BK39" t="s">
        <v>442</v>
      </c>
      <c r="BL39">
        <v>2</v>
      </c>
      <c r="CA39" t="s">
        <v>203</v>
      </c>
      <c r="CB39" t="s">
        <v>151</v>
      </c>
      <c r="CC39" t="s">
        <v>152</v>
      </c>
      <c r="CD39" t="s">
        <v>118</v>
      </c>
      <c r="CL39">
        <v>1</v>
      </c>
    </row>
    <row r="40" spans="1:90">
      <c r="A40" t="s">
        <v>188</v>
      </c>
      <c r="B40" t="s">
        <v>151</v>
      </c>
      <c r="C40" t="s">
        <v>149</v>
      </c>
      <c r="D40" t="s">
        <v>124</v>
      </c>
      <c r="I40" t="s">
        <v>189</v>
      </c>
      <c r="J40" t="s">
        <v>189</v>
      </c>
      <c r="K40" t="s">
        <v>190</v>
      </c>
      <c r="L40">
        <v>1</v>
      </c>
      <c r="S40" s="35" t="s">
        <v>138</v>
      </c>
      <c r="T40" s="28">
        <f>COUNTIFS($CL:$CL,T$39,$CD:$CD,$S40)</f>
        <v>1</v>
      </c>
      <c r="U40" s="28">
        <f t="shared" ref="U40:Y44" si="44">COUNTIFS($CL:$CL,U$39,$CD:$CD,$S40)</f>
        <v>1</v>
      </c>
      <c r="V40" s="28">
        <f t="shared" si="44"/>
        <v>3</v>
      </c>
      <c r="W40" s="28">
        <f t="shared" si="44"/>
        <v>0</v>
      </c>
      <c r="X40" s="28">
        <f t="shared" si="44"/>
        <v>3</v>
      </c>
      <c r="Y40" s="28">
        <f t="shared" si="44"/>
        <v>3</v>
      </c>
      <c r="Z40" s="44">
        <f>SUM(T40:Y40)</f>
        <v>11</v>
      </c>
      <c r="AA40" s="29">
        <f>T40/T$46</f>
        <v>3.4482758620689655E-2</v>
      </c>
      <c r="AB40" s="29">
        <f t="shared" ref="AB40:AB46" si="45">U40/U$46</f>
        <v>1.9230769230769232E-2</v>
      </c>
      <c r="AC40" s="29">
        <f t="shared" ref="AC40:AC46" si="46">V40/V$46</f>
        <v>8.7209302325581394E-3</v>
      </c>
      <c r="AD40" s="29">
        <f t="shared" ref="AD40:AD46" si="47">W40/W$46</f>
        <v>0</v>
      </c>
      <c r="AE40" s="29">
        <f t="shared" ref="AE40:AE46" si="48">X40/X$46</f>
        <v>4.1095890410958902E-2</v>
      </c>
      <c r="AF40" s="120">
        <f t="shared" ref="AF40:AF46" si="49">Y40/Y$46</f>
        <v>2.6785714285714284E-2</v>
      </c>
      <c r="AG40" s="29">
        <f t="shared" ref="AG40:AG46" si="50">Z40/Z$46</f>
        <v>1.5047879616963064E-2</v>
      </c>
      <c r="BA40" s="33" t="s">
        <v>443</v>
      </c>
      <c r="BB40" s="33" t="s">
        <v>172</v>
      </c>
      <c r="BC40" s="33" t="s">
        <v>152</v>
      </c>
      <c r="BD40" s="33" t="s">
        <v>124</v>
      </c>
      <c r="BE40" s="33" t="s">
        <v>167</v>
      </c>
      <c r="BF40" s="33"/>
      <c r="BG40" s="33"/>
      <c r="BH40" s="33"/>
      <c r="BI40" t="s">
        <v>156</v>
      </c>
      <c r="BJ40" t="s">
        <v>156</v>
      </c>
      <c r="BK40" t="s">
        <v>444</v>
      </c>
      <c r="BL40">
        <v>2</v>
      </c>
      <c r="CA40" t="s">
        <v>204</v>
      </c>
      <c r="CB40" t="s">
        <v>151</v>
      </c>
      <c r="CC40" t="s">
        <v>152</v>
      </c>
      <c r="CD40" t="s">
        <v>124</v>
      </c>
      <c r="CE40" t="s">
        <v>167</v>
      </c>
      <c r="CI40" t="s">
        <v>156</v>
      </c>
      <c r="CJ40" t="s">
        <v>181</v>
      </c>
      <c r="CK40" t="s">
        <v>205</v>
      </c>
      <c r="CL40">
        <v>1</v>
      </c>
    </row>
    <row r="41" spans="1:90">
      <c r="A41" t="s">
        <v>191</v>
      </c>
      <c r="B41" t="s">
        <v>151</v>
      </c>
      <c r="C41" t="s">
        <v>149</v>
      </c>
      <c r="D41" t="s">
        <v>118</v>
      </c>
      <c r="I41" t="s">
        <v>181</v>
      </c>
      <c r="J41" t="s">
        <v>181</v>
      </c>
      <c r="K41" t="s">
        <v>192</v>
      </c>
      <c r="L41">
        <v>1</v>
      </c>
      <c r="S41" s="35" t="s">
        <v>118</v>
      </c>
      <c r="T41" s="28">
        <f t="shared" ref="T41:T44" si="51">COUNTIFS($CL:$CL,T$39,$CD:$CD,$S41)</f>
        <v>18</v>
      </c>
      <c r="U41" s="28">
        <f t="shared" si="44"/>
        <v>29</v>
      </c>
      <c r="V41" s="28">
        <f t="shared" si="44"/>
        <v>172</v>
      </c>
      <c r="W41" s="28">
        <f t="shared" si="44"/>
        <v>61</v>
      </c>
      <c r="X41" s="28">
        <f t="shared" si="44"/>
        <v>40</v>
      </c>
      <c r="Y41" s="28">
        <f t="shared" si="44"/>
        <v>62</v>
      </c>
      <c r="Z41" s="44">
        <f>SUM(T41:Y41)</f>
        <v>382</v>
      </c>
      <c r="AA41" s="29">
        <f t="shared" ref="AA41:AA46" si="52">T41/T$46</f>
        <v>0.62068965517241381</v>
      </c>
      <c r="AB41" s="29">
        <f t="shared" si="45"/>
        <v>0.55769230769230771</v>
      </c>
      <c r="AC41" s="29">
        <f t="shared" si="46"/>
        <v>0.5</v>
      </c>
      <c r="AD41" s="29">
        <f t="shared" si="47"/>
        <v>0.50413223140495866</v>
      </c>
      <c r="AE41" s="29">
        <f t="shared" si="48"/>
        <v>0.54794520547945202</v>
      </c>
      <c r="AF41" s="72">
        <f t="shared" si="49"/>
        <v>0.5535714285714286</v>
      </c>
      <c r="AG41" s="29">
        <f t="shared" si="50"/>
        <v>0.52257181942544462</v>
      </c>
      <c r="BA41" s="33" t="s">
        <v>446</v>
      </c>
      <c r="BB41" s="33" t="s">
        <v>172</v>
      </c>
      <c r="BC41" s="33" t="s">
        <v>149</v>
      </c>
      <c r="BD41" s="33" t="s">
        <v>124</v>
      </c>
      <c r="BE41" s="33" t="s">
        <v>167</v>
      </c>
      <c r="BF41" s="33"/>
      <c r="BG41" s="33"/>
      <c r="BH41" s="33"/>
      <c r="BI41" t="s">
        <v>181</v>
      </c>
      <c r="BJ41" t="s">
        <v>181</v>
      </c>
      <c r="BK41" t="s">
        <v>447</v>
      </c>
      <c r="BL41">
        <v>2</v>
      </c>
      <c r="CA41" t="s">
        <v>208</v>
      </c>
      <c r="CB41" t="s">
        <v>151</v>
      </c>
      <c r="CC41" t="s">
        <v>149</v>
      </c>
      <c r="CD41" t="s">
        <v>124</v>
      </c>
      <c r="CE41" t="s">
        <v>167</v>
      </c>
      <c r="CI41" t="s">
        <v>181</v>
      </c>
      <c r="CJ41" t="s">
        <v>181</v>
      </c>
      <c r="CK41" t="s">
        <v>192</v>
      </c>
      <c r="CL41">
        <v>1</v>
      </c>
    </row>
    <row r="42" spans="1:90">
      <c r="A42" t="s">
        <v>193</v>
      </c>
      <c r="B42" t="s">
        <v>151</v>
      </c>
      <c r="C42" t="s">
        <v>152</v>
      </c>
      <c r="D42" t="s">
        <v>124</v>
      </c>
      <c r="E42" t="s">
        <v>180</v>
      </c>
      <c r="J42" t="s">
        <v>156</v>
      </c>
      <c r="K42" t="s">
        <v>194</v>
      </c>
      <c r="L42">
        <v>1</v>
      </c>
      <c r="S42" s="35" t="s">
        <v>124</v>
      </c>
      <c r="T42" s="28">
        <f t="shared" si="51"/>
        <v>9</v>
      </c>
      <c r="U42" s="28">
        <f t="shared" si="44"/>
        <v>19</v>
      </c>
      <c r="V42" s="28">
        <f t="shared" si="44"/>
        <v>144</v>
      </c>
      <c r="W42" s="28">
        <f t="shared" si="44"/>
        <v>50</v>
      </c>
      <c r="X42" s="28">
        <f t="shared" si="44"/>
        <v>22</v>
      </c>
      <c r="Y42" s="28">
        <f t="shared" si="44"/>
        <v>41</v>
      </c>
      <c r="Z42" s="44">
        <f t="shared" ref="Z42:Z45" si="53">SUM(T42:Y42)</f>
        <v>285</v>
      </c>
      <c r="AA42" s="29">
        <f t="shared" si="52"/>
        <v>0.31034482758620691</v>
      </c>
      <c r="AB42" s="29">
        <f t="shared" si="45"/>
        <v>0.36538461538461536</v>
      </c>
      <c r="AC42" s="29">
        <f t="shared" si="46"/>
        <v>0.41860465116279072</v>
      </c>
      <c r="AD42" s="29">
        <f t="shared" si="47"/>
        <v>0.41322314049586778</v>
      </c>
      <c r="AE42" s="29">
        <f t="shared" si="48"/>
        <v>0.30136986301369861</v>
      </c>
      <c r="AF42" s="72">
        <f t="shared" si="49"/>
        <v>0.36607142857142855</v>
      </c>
      <c r="AG42" s="29">
        <f t="shared" si="50"/>
        <v>0.3898768809849521</v>
      </c>
      <c r="BA42" t="s">
        <v>467</v>
      </c>
      <c r="BB42" t="s">
        <v>151</v>
      </c>
      <c r="BC42" t="s">
        <v>149</v>
      </c>
      <c r="BD42" t="s">
        <v>124</v>
      </c>
      <c r="BE42" t="s">
        <v>167</v>
      </c>
      <c r="BI42" t="s">
        <v>181</v>
      </c>
      <c r="BJ42" t="s">
        <v>181</v>
      </c>
      <c r="BK42" t="s">
        <v>468</v>
      </c>
      <c r="BL42">
        <v>2</v>
      </c>
      <c r="CA42" s="33" t="s">
        <v>212</v>
      </c>
      <c r="CB42" s="33" t="s">
        <v>172</v>
      </c>
      <c r="CC42" s="33" t="s">
        <v>149</v>
      </c>
      <c r="CD42" s="33" t="s">
        <v>124</v>
      </c>
      <c r="CE42" s="33"/>
      <c r="CF42" s="33"/>
      <c r="CG42" s="33"/>
      <c r="CH42" s="33"/>
      <c r="CL42">
        <v>1</v>
      </c>
    </row>
    <row r="43" spans="1:90">
      <c r="A43" t="s">
        <v>195</v>
      </c>
      <c r="B43" t="s">
        <v>151</v>
      </c>
      <c r="C43" t="s">
        <v>152</v>
      </c>
      <c r="D43" t="s">
        <v>124</v>
      </c>
      <c r="E43" t="s">
        <v>153</v>
      </c>
      <c r="J43" t="s">
        <v>156</v>
      </c>
      <c r="K43" t="s">
        <v>196</v>
      </c>
      <c r="L43">
        <v>1</v>
      </c>
      <c r="S43" s="35" t="s">
        <v>132</v>
      </c>
      <c r="T43" s="28">
        <f t="shared" si="51"/>
        <v>1</v>
      </c>
      <c r="U43" s="28">
        <f t="shared" si="44"/>
        <v>3</v>
      </c>
      <c r="V43" s="28">
        <f t="shared" si="44"/>
        <v>23</v>
      </c>
      <c r="W43" s="28">
        <f t="shared" si="44"/>
        <v>7</v>
      </c>
      <c r="X43" s="28">
        <f t="shared" si="44"/>
        <v>5</v>
      </c>
      <c r="Y43" s="28">
        <f t="shared" si="44"/>
        <v>5</v>
      </c>
      <c r="Z43" s="44">
        <f t="shared" si="53"/>
        <v>44</v>
      </c>
      <c r="AA43" s="29">
        <f t="shared" si="52"/>
        <v>3.4482758620689655E-2</v>
      </c>
      <c r="AB43" s="29">
        <f t="shared" si="45"/>
        <v>5.7692307692307696E-2</v>
      </c>
      <c r="AC43" s="29">
        <f t="shared" si="46"/>
        <v>6.6860465116279064E-2</v>
      </c>
      <c r="AD43" s="29">
        <f t="shared" si="47"/>
        <v>5.7851239669421489E-2</v>
      </c>
      <c r="AE43" s="29">
        <f t="shared" si="48"/>
        <v>6.8493150684931503E-2</v>
      </c>
      <c r="AF43" s="72">
        <f t="shared" si="49"/>
        <v>4.4642857142857144E-2</v>
      </c>
      <c r="AG43" s="29">
        <f t="shared" si="50"/>
        <v>6.0191518467852256E-2</v>
      </c>
      <c r="BA43" t="s">
        <v>471</v>
      </c>
      <c r="BB43" t="s">
        <v>151</v>
      </c>
      <c r="BC43" t="s">
        <v>149</v>
      </c>
      <c r="BD43" t="s">
        <v>124</v>
      </c>
      <c r="BE43" t="s">
        <v>167</v>
      </c>
      <c r="BI43" t="s">
        <v>186</v>
      </c>
      <c r="BJ43" t="s">
        <v>186</v>
      </c>
      <c r="BK43" t="s">
        <v>306</v>
      </c>
      <c r="BL43">
        <v>2</v>
      </c>
      <c r="CA43" s="33" t="s">
        <v>213</v>
      </c>
      <c r="CB43" s="33" t="s">
        <v>172</v>
      </c>
      <c r="CC43" s="33" t="s">
        <v>152</v>
      </c>
      <c r="CD43" s="33" t="s">
        <v>124</v>
      </c>
      <c r="CE43" s="33"/>
      <c r="CF43" s="33"/>
      <c r="CG43" s="33"/>
      <c r="CH43" s="33"/>
      <c r="CL43">
        <v>1</v>
      </c>
    </row>
    <row r="44" spans="1:90">
      <c r="A44" t="s">
        <v>197</v>
      </c>
      <c r="B44" t="s">
        <v>151</v>
      </c>
      <c r="C44" t="s">
        <v>149</v>
      </c>
      <c r="D44" t="s">
        <v>118</v>
      </c>
      <c r="E44" t="s">
        <v>153</v>
      </c>
      <c r="J44" t="s">
        <v>181</v>
      </c>
      <c r="K44" t="s">
        <v>187</v>
      </c>
      <c r="L44">
        <v>1</v>
      </c>
      <c r="S44" s="35" t="s">
        <v>143</v>
      </c>
      <c r="T44" s="28">
        <f t="shared" si="51"/>
        <v>0</v>
      </c>
      <c r="U44" s="28">
        <f t="shared" si="44"/>
        <v>0</v>
      </c>
      <c r="V44" s="28">
        <f t="shared" si="44"/>
        <v>2</v>
      </c>
      <c r="W44" s="28">
        <f t="shared" si="44"/>
        <v>3</v>
      </c>
      <c r="X44" s="28">
        <f t="shared" si="44"/>
        <v>2</v>
      </c>
      <c r="Y44" s="28">
        <f t="shared" si="44"/>
        <v>1</v>
      </c>
      <c r="Z44" s="44">
        <f t="shared" si="53"/>
        <v>8</v>
      </c>
      <c r="AA44" s="29">
        <f t="shared" si="52"/>
        <v>0</v>
      </c>
      <c r="AB44" s="29">
        <f t="shared" si="45"/>
        <v>0</v>
      </c>
      <c r="AC44" s="29">
        <f t="shared" si="46"/>
        <v>5.8139534883720929E-3</v>
      </c>
      <c r="AD44" s="29">
        <f t="shared" si="47"/>
        <v>2.4793388429752067E-2</v>
      </c>
      <c r="AE44" s="29">
        <f t="shared" si="48"/>
        <v>2.7397260273972601E-2</v>
      </c>
      <c r="AF44" s="72">
        <f t="shared" si="49"/>
        <v>8.9285714285714281E-3</v>
      </c>
      <c r="AG44" s="29">
        <f t="shared" si="50"/>
        <v>1.094391244870041E-2</v>
      </c>
      <c r="BA44" t="s">
        <v>480</v>
      </c>
      <c r="BB44" t="s">
        <v>116</v>
      </c>
      <c r="BC44" t="s">
        <v>152</v>
      </c>
      <c r="BD44" t="s">
        <v>118</v>
      </c>
      <c r="BI44" t="s">
        <v>186</v>
      </c>
      <c r="BJ44" t="s">
        <v>186</v>
      </c>
      <c r="BK44" t="s">
        <v>481</v>
      </c>
      <c r="BL44">
        <v>2</v>
      </c>
      <c r="CA44" t="s">
        <v>214</v>
      </c>
      <c r="CB44" t="s">
        <v>215</v>
      </c>
      <c r="CC44" t="s">
        <v>216</v>
      </c>
      <c r="CD44" t="s">
        <v>124</v>
      </c>
      <c r="CE44" t="s">
        <v>167</v>
      </c>
      <c r="CI44" t="s">
        <v>156</v>
      </c>
      <c r="CJ44" t="s">
        <v>156</v>
      </c>
      <c r="CK44" t="s">
        <v>217</v>
      </c>
    </row>
    <row r="45" spans="1:90">
      <c r="A45" t="s">
        <v>198</v>
      </c>
      <c r="B45" t="s">
        <v>151</v>
      </c>
      <c r="C45" t="s">
        <v>152</v>
      </c>
      <c r="D45" t="s">
        <v>118</v>
      </c>
      <c r="L45">
        <v>1</v>
      </c>
      <c r="S45" s="39" t="s">
        <v>145</v>
      </c>
      <c r="T45" s="28">
        <v>0</v>
      </c>
      <c r="U45" s="28">
        <v>0</v>
      </c>
      <c r="V45" s="28">
        <v>0</v>
      </c>
      <c r="W45" s="28">
        <v>0</v>
      </c>
      <c r="X45" s="28">
        <v>1</v>
      </c>
      <c r="Y45" s="28">
        <v>0</v>
      </c>
      <c r="Z45" s="44">
        <f t="shared" si="53"/>
        <v>1</v>
      </c>
      <c r="AA45" s="29">
        <f t="shared" si="52"/>
        <v>0</v>
      </c>
      <c r="AB45" s="29">
        <f t="shared" si="45"/>
        <v>0</v>
      </c>
      <c r="AC45" s="29">
        <f t="shared" si="46"/>
        <v>0</v>
      </c>
      <c r="AD45" s="29">
        <f t="shared" si="47"/>
        <v>0</v>
      </c>
      <c r="AE45" s="29">
        <f t="shared" si="48"/>
        <v>1.3698630136986301E-2</v>
      </c>
      <c r="AF45" s="72">
        <f t="shared" si="49"/>
        <v>0</v>
      </c>
      <c r="AG45" s="29">
        <f t="shared" si="50"/>
        <v>1.3679890560875513E-3</v>
      </c>
      <c r="BA45" t="s">
        <v>483</v>
      </c>
      <c r="BB45" t="s">
        <v>151</v>
      </c>
      <c r="BC45" t="s">
        <v>152</v>
      </c>
      <c r="BD45" t="s">
        <v>118</v>
      </c>
      <c r="BF45" t="s">
        <v>163</v>
      </c>
      <c r="BH45" t="s">
        <v>164</v>
      </c>
      <c r="BI45" t="s">
        <v>186</v>
      </c>
      <c r="BJ45" t="s">
        <v>186</v>
      </c>
      <c r="BK45" t="s">
        <v>484</v>
      </c>
      <c r="BL45">
        <v>2</v>
      </c>
      <c r="CA45" t="s">
        <v>218</v>
      </c>
      <c r="CB45" t="s">
        <v>151</v>
      </c>
      <c r="CC45" t="s">
        <v>152</v>
      </c>
      <c r="CD45" t="s">
        <v>118</v>
      </c>
      <c r="CI45" t="s">
        <v>189</v>
      </c>
      <c r="CJ45" t="s">
        <v>189</v>
      </c>
      <c r="CK45" t="s">
        <v>219</v>
      </c>
      <c r="CL45">
        <v>1</v>
      </c>
    </row>
    <row r="46" spans="1:90">
      <c r="A46" t="s">
        <v>199</v>
      </c>
      <c r="B46" t="s">
        <v>151</v>
      </c>
      <c r="C46" t="s">
        <v>149</v>
      </c>
      <c r="D46" t="s">
        <v>118</v>
      </c>
      <c r="E46" t="s">
        <v>167</v>
      </c>
      <c r="J46" t="s">
        <v>156</v>
      </c>
      <c r="K46" t="s">
        <v>200</v>
      </c>
      <c r="L46">
        <v>1</v>
      </c>
      <c r="S46" s="37" t="s">
        <v>1158</v>
      </c>
      <c r="T46" s="49">
        <f>SUM(T40:T45)</f>
        <v>29</v>
      </c>
      <c r="U46" s="49">
        <f t="shared" ref="U46:X46" si="54">SUM(U40:U45)</f>
        <v>52</v>
      </c>
      <c r="V46" s="49">
        <f t="shared" si="54"/>
        <v>344</v>
      </c>
      <c r="W46" s="49">
        <f t="shared" si="54"/>
        <v>121</v>
      </c>
      <c r="X46" s="49">
        <f t="shared" si="54"/>
        <v>73</v>
      </c>
      <c r="Y46" s="50">
        <f t="shared" ref="Y46" si="55">SUM(Y40:Y45)</f>
        <v>112</v>
      </c>
      <c r="Z46" s="51">
        <f>SUM(Z40:Z45)</f>
        <v>731</v>
      </c>
      <c r="AA46" s="118">
        <f t="shared" si="52"/>
        <v>1</v>
      </c>
      <c r="AB46" s="52">
        <f t="shared" si="45"/>
        <v>1</v>
      </c>
      <c r="AC46" s="52">
        <f t="shared" si="46"/>
        <v>1</v>
      </c>
      <c r="AD46" s="52">
        <f t="shared" si="47"/>
        <v>1</v>
      </c>
      <c r="AE46" s="52">
        <f t="shared" si="48"/>
        <v>1</v>
      </c>
      <c r="AF46" s="121">
        <f t="shared" si="49"/>
        <v>1</v>
      </c>
      <c r="AG46" s="52">
        <f t="shared" si="50"/>
        <v>1</v>
      </c>
      <c r="BA46" t="s">
        <v>487</v>
      </c>
      <c r="BB46" t="s">
        <v>151</v>
      </c>
      <c r="BC46" t="s">
        <v>149</v>
      </c>
      <c r="BD46" t="s">
        <v>124</v>
      </c>
      <c r="BJ46" t="s">
        <v>168</v>
      </c>
      <c r="BK46" t="s">
        <v>488</v>
      </c>
      <c r="BL46">
        <v>2</v>
      </c>
      <c r="CA46" t="s">
        <v>220</v>
      </c>
      <c r="CB46" t="s">
        <v>151</v>
      </c>
      <c r="CC46" t="s">
        <v>152</v>
      </c>
      <c r="CD46" t="s">
        <v>118</v>
      </c>
      <c r="CE46" t="s">
        <v>167</v>
      </c>
      <c r="CI46" t="s">
        <v>221</v>
      </c>
      <c r="CJ46" t="s">
        <v>221</v>
      </c>
      <c r="CK46" t="s">
        <v>222</v>
      </c>
      <c r="CL46">
        <v>1</v>
      </c>
    </row>
    <row r="47" spans="1:90" ht="15" thickBot="1">
      <c r="A47" t="s">
        <v>201</v>
      </c>
      <c r="B47" t="s">
        <v>151</v>
      </c>
      <c r="C47" t="s">
        <v>152</v>
      </c>
      <c r="D47" t="s">
        <v>124</v>
      </c>
      <c r="E47" t="s">
        <v>153</v>
      </c>
      <c r="I47" t="s">
        <v>168</v>
      </c>
      <c r="J47" t="s">
        <v>156</v>
      </c>
      <c r="K47" t="s">
        <v>202</v>
      </c>
      <c r="L47">
        <v>1</v>
      </c>
      <c r="S47" s="40" t="s">
        <v>1159</v>
      </c>
      <c r="T47" s="31">
        <f>T46/$Z$46</f>
        <v>3.9671682626538987E-2</v>
      </c>
      <c r="U47" s="31">
        <f t="shared" ref="U47:Y47" si="56">U46/$Z$46</f>
        <v>7.1135430916552667E-2</v>
      </c>
      <c r="V47" s="31">
        <f t="shared" si="56"/>
        <v>0.47058823529411764</v>
      </c>
      <c r="W47" s="31">
        <f t="shared" si="56"/>
        <v>0.16552667578659372</v>
      </c>
      <c r="X47" s="31">
        <f t="shared" si="56"/>
        <v>9.9863201094391243E-2</v>
      </c>
      <c r="Y47" s="31">
        <f t="shared" si="56"/>
        <v>0.15321477428180574</v>
      </c>
      <c r="Z47" s="54">
        <f>Z46/$Z$46</f>
        <v>1</v>
      </c>
      <c r="AA47" s="119">
        <f>SUM(AA40:AA45)</f>
        <v>0.99999999999999989</v>
      </c>
      <c r="AB47" s="119">
        <f t="shared" ref="AB47:AG47" si="57">SUM(AB40:AB45)</f>
        <v>1</v>
      </c>
      <c r="AC47" s="119">
        <f t="shared" si="57"/>
        <v>1</v>
      </c>
      <c r="AD47" s="119">
        <f t="shared" si="57"/>
        <v>1</v>
      </c>
      <c r="AE47" s="119">
        <f t="shared" si="57"/>
        <v>0.99999999999999978</v>
      </c>
      <c r="AF47" s="122">
        <f t="shared" si="57"/>
        <v>0.99999999999999989</v>
      </c>
      <c r="AG47" s="119">
        <f t="shared" si="57"/>
        <v>1</v>
      </c>
      <c r="BA47" t="s">
        <v>489</v>
      </c>
      <c r="BB47" t="s">
        <v>151</v>
      </c>
      <c r="BC47" t="s">
        <v>152</v>
      </c>
      <c r="BD47" t="s">
        <v>118</v>
      </c>
      <c r="BI47" t="s">
        <v>221</v>
      </c>
      <c r="BJ47" t="s">
        <v>221</v>
      </c>
      <c r="BK47" t="s">
        <v>468</v>
      </c>
      <c r="BL47">
        <v>2</v>
      </c>
      <c r="CA47" t="s">
        <v>225</v>
      </c>
      <c r="CB47" t="s">
        <v>116</v>
      </c>
      <c r="CC47" t="s">
        <v>149</v>
      </c>
      <c r="CD47" t="s">
        <v>118</v>
      </c>
      <c r="CL47">
        <v>1</v>
      </c>
    </row>
    <row r="48" spans="1:90">
      <c r="A48" t="s">
        <v>203</v>
      </c>
      <c r="B48" t="s">
        <v>151</v>
      </c>
      <c r="C48" t="s">
        <v>152</v>
      </c>
      <c r="D48" t="s">
        <v>118</v>
      </c>
      <c r="L48">
        <v>1</v>
      </c>
      <c r="BA48" t="s">
        <v>492</v>
      </c>
      <c r="BB48" t="s">
        <v>151</v>
      </c>
      <c r="BC48" t="s">
        <v>149</v>
      </c>
      <c r="BD48" t="s">
        <v>118</v>
      </c>
      <c r="BE48" t="s">
        <v>167</v>
      </c>
      <c r="BJ48" t="s">
        <v>181</v>
      </c>
      <c r="BK48" t="s">
        <v>192</v>
      </c>
      <c r="BL48">
        <v>2</v>
      </c>
      <c r="CA48" t="s">
        <v>226</v>
      </c>
      <c r="CB48" t="s">
        <v>151</v>
      </c>
      <c r="CC48" t="s">
        <v>152</v>
      </c>
      <c r="CD48" t="s">
        <v>118</v>
      </c>
      <c r="CL48">
        <v>1</v>
      </c>
    </row>
    <row r="49" spans="1:90">
      <c r="A49" t="s">
        <v>204</v>
      </c>
      <c r="B49" t="s">
        <v>151</v>
      </c>
      <c r="C49" t="s">
        <v>152</v>
      </c>
      <c r="D49" t="s">
        <v>124</v>
      </c>
      <c r="E49" t="s">
        <v>167</v>
      </c>
      <c r="I49" t="s">
        <v>156</v>
      </c>
      <c r="J49" t="s">
        <v>181</v>
      </c>
      <c r="K49" t="s">
        <v>205</v>
      </c>
      <c r="L49">
        <v>1</v>
      </c>
      <c r="T49" s="29">
        <f>T40/$Z40</f>
        <v>9.0909090909090912E-2</v>
      </c>
      <c r="U49" s="29">
        <f t="shared" ref="U49:Y49" si="58">U40/$Z40</f>
        <v>9.0909090909090912E-2</v>
      </c>
      <c r="V49" s="29">
        <f t="shared" si="58"/>
        <v>0.27272727272727271</v>
      </c>
      <c r="W49" s="29">
        <f t="shared" si="58"/>
        <v>0</v>
      </c>
      <c r="X49" s="29">
        <f t="shared" si="58"/>
        <v>0.27272727272727271</v>
      </c>
      <c r="Y49" s="29">
        <f t="shared" si="58"/>
        <v>0.27272727272727271</v>
      </c>
      <c r="BA49" t="s">
        <v>494</v>
      </c>
      <c r="BB49" t="s">
        <v>151</v>
      </c>
      <c r="BC49" t="s">
        <v>152</v>
      </c>
      <c r="BD49" t="s">
        <v>118</v>
      </c>
      <c r="BE49" t="s">
        <v>167</v>
      </c>
      <c r="BI49" t="s">
        <v>181</v>
      </c>
      <c r="BJ49" t="s">
        <v>181</v>
      </c>
      <c r="BK49" t="s">
        <v>192</v>
      </c>
      <c r="BL49">
        <v>2</v>
      </c>
      <c r="CA49" t="s">
        <v>227</v>
      </c>
      <c r="CB49" t="s">
        <v>151</v>
      </c>
      <c r="CC49" t="s">
        <v>152</v>
      </c>
      <c r="CD49" t="s">
        <v>118</v>
      </c>
      <c r="CL49">
        <v>1</v>
      </c>
    </row>
    <row r="50" spans="1:90">
      <c r="A50" t="s">
        <v>206</v>
      </c>
      <c r="B50" t="s">
        <v>151</v>
      </c>
      <c r="C50" t="s">
        <v>152</v>
      </c>
      <c r="D50" t="s">
        <v>124</v>
      </c>
      <c r="E50" t="s">
        <v>153</v>
      </c>
      <c r="I50" t="s">
        <v>181</v>
      </c>
      <c r="J50" t="s">
        <v>181</v>
      </c>
      <c r="K50" t="s">
        <v>207</v>
      </c>
      <c r="L50">
        <v>1</v>
      </c>
      <c r="T50" s="29">
        <f t="shared" ref="T50:Y50" si="59">T41/$Z41</f>
        <v>4.712041884816754E-2</v>
      </c>
      <c r="U50" s="29">
        <f t="shared" si="59"/>
        <v>7.5916230366492143E-2</v>
      </c>
      <c r="V50" s="29">
        <f t="shared" si="59"/>
        <v>0.45026178010471202</v>
      </c>
      <c r="W50" s="29">
        <f t="shared" si="59"/>
        <v>0.15968586387434555</v>
      </c>
      <c r="X50" s="29">
        <f t="shared" si="59"/>
        <v>0.10471204188481675</v>
      </c>
      <c r="Y50" s="29">
        <f t="shared" si="59"/>
        <v>0.16230366492146597</v>
      </c>
      <c r="BA50" t="s">
        <v>496</v>
      </c>
      <c r="BB50" t="s">
        <v>151</v>
      </c>
      <c r="BC50" t="s">
        <v>152</v>
      </c>
      <c r="BD50" t="s">
        <v>124</v>
      </c>
      <c r="BE50" t="s">
        <v>167</v>
      </c>
      <c r="BJ50" t="s">
        <v>156</v>
      </c>
      <c r="BL50">
        <v>2</v>
      </c>
      <c r="CA50" t="s">
        <v>228</v>
      </c>
      <c r="CB50" t="s">
        <v>162</v>
      </c>
      <c r="CC50" t="s">
        <v>149</v>
      </c>
      <c r="CD50" t="s">
        <v>118</v>
      </c>
      <c r="CL50">
        <v>1</v>
      </c>
    </row>
    <row r="51" spans="1:90">
      <c r="A51" t="s">
        <v>208</v>
      </c>
      <c r="B51" t="s">
        <v>151</v>
      </c>
      <c r="C51" t="s">
        <v>149</v>
      </c>
      <c r="D51" t="s">
        <v>124</v>
      </c>
      <c r="E51" t="s">
        <v>167</v>
      </c>
      <c r="I51" t="s">
        <v>181</v>
      </c>
      <c r="J51" t="s">
        <v>181</v>
      </c>
      <c r="K51" t="s">
        <v>192</v>
      </c>
      <c r="L51">
        <v>1</v>
      </c>
      <c r="T51" s="29">
        <f t="shared" ref="T51:Y51" si="60">T42/$Z42</f>
        <v>3.1578947368421054E-2</v>
      </c>
      <c r="U51" s="29">
        <f t="shared" si="60"/>
        <v>6.6666666666666666E-2</v>
      </c>
      <c r="V51" s="29">
        <f t="shared" si="60"/>
        <v>0.50526315789473686</v>
      </c>
      <c r="W51" s="29">
        <f t="shared" si="60"/>
        <v>0.17543859649122806</v>
      </c>
      <c r="X51" s="29">
        <f t="shared" si="60"/>
        <v>7.7192982456140355E-2</v>
      </c>
      <c r="Y51" s="29">
        <f t="shared" si="60"/>
        <v>0.14385964912280702</v>
      </c>
      <c r="BA51" t="s">
        <v>499</v>
      </c>
      <c r="BB51" t="s">
        <v>160</v>
      </c>
      <c r="BC51" t="s">
        <v>117</v>
      </c>
      <c r="BD51" t="s">
        <v>118</v>
      </c>
      <c r="BE51" t="s">
        <v>500</v>
      </c>
      <c r="BI51" t="s">
        <v>168</v>
      </c>
      <c r="BJ51" t="s">
        <v>168</v>
      </c>
      <c r="BK51" t="s">
        <v>501</v>
      </c>
      <c r="BL51">
        <v>2</v>
      </c>
      <c r="CA51" t="s">
        <v>229</v>
      </c>
      <c r="CB51" t="s">
        <v>151</v>
      </c>
      <c r="CC51" t="s">
        <v>149</v>
      </c>
      <c r="CD51" t="s">
        <v>124</v>
      </c>
      <c r="CE51" t="s">
        <v>167</v>
      </c>
      <c r="CI51" t="s">
        <v>181</v>
      </c>
      <c r="CJ51" t="s">
        <v>181</v>
      </c>
      <c r="CK51" t="s">
        <v>192</v>
      </c>
      <c r="CL51">
        <v>1</v>
      </c>
    </row>
    <row r="52" spans="1:90">
      <c r="A52" t="s">
        <v>209</v>
      </c>
      <c r="B52" t="s">
        <v>151</v>
      </c>
      <c r="C52" t="s">
        <v>149</v>
      </c>
      <c r="D52" t="s">
        <v>124</v>
      </c>
      <c r="E52" t="s">
        <v>210</v>
      </c>
      <c r="I52" t="s">
        <v>156</v>
      </c>
      <c r="J52" t="s">
        <v>156</v>
      </c>
      <c r="K52" t="s">
        <v>211</v>
      </c>
      <c r="L52">
        <v>1</v>
      </c>
      <c r="T52" s="29">
        <f t="shared" ref="T52:Y52" si="61">T43/$Z43</f>
        <v>2.2727272727272728E-2</v>
      </c>
      <c r="U52" s="29">
        <f t="shared" si="61"/>
        <v>6.8181818181818177E-2</v>
      </c>
      <c r="V52" s="29">
        <f t="shared" si="61"/>
        <v>0.52272727272727271</v>
      </c>
      <c r="W52" s="29">
        <f t="shared" si="61"/>
        <v>0.15909090909090909</v>
      </c>
      <c r="X52" s="29">
        <f t="shared" si="61"/>
        <v>0.11363636363636363</v>
      </c>
      <c r="Y52" s="29">
        <f t="shared" si="61"/>
        <v>0.11363636363636363</v>
      </c>
      <c r="BA52" t="s">
        <v>512</v>
      </c>
      <c r="BB52" t="s">
        <v>151</v>
      </c>
      <c r="BC52" t="s">
        <v>152</v>
      </c>
      <c r="BD52" t="s">
        <v>124</v>
      </c>
      <c r="BE52" t="s">
        <v>167</v>
      </c>
      <c r="BI52" t="s">
        <v>168</v>
      </c>
      <c r="BJ52" t="s">
        <v>168</v>
      </c>
      <c r="BK52" t="s">
        <v>513</v>
      </c>
      <c r="BL52">
        <v>2</v>
      </c>
      <c r="CA52" t="s">
        <v>230</v>
      </c>
      <c r="CB52" t="s">
        <v>151</v>
      </c>
      <c r="CC52" t="s">
        <v>152</v>
      </c>
      <c r="CD52" t="s">
        <v>118</v>
      </c>
      <c r="CE52" t="s">
        <v>167</v>
      </c>
      <c r="CI52" t="s">
        <v>181</v>
      </c>
      <c r="CJ52" t="s">
        <v>181</v>
      </c>
      <c r="CK52" t="s">
        <v>192</v>
      </c>
      <c r="CL52">
        <v>1</v>
      </c>
    </row>
    <row r="53" spans="1:90">
      <c r="A53" s="33" t="s">
        <v>212</v>
      </c>
      <c r="B53" s="33" t="s">
        <v>172</v>
      </c>
      <c r="C53" s="33" t="s">
        <v>149</v>
      </c>
      <c r="D53" s="33" t="s">
        <v>124</v>
      </c>
      <c r="E53" s="33"/>
      <c r="F53" s="33"/>
      <c r="G53" s="33"/>
      <c r="H53" s="33"/>
      <c r="L53">
        <v>1</v>
      </c>
      <c r="T53" s="29">
        <f t="shared" ref="T53:Y53" si="62">T44/$Z44</f>
        <v>0</v>
      </c>
      <c r="U53" s="29">
        <f t="shared" si="62"/>
        <v>0</v>
      </c>
      <c r="V53" s="29">
        <f t="shared" si="62"/>
        <v>0.25</v>
      </c>
      <c r="W53" s="29">
        <f t="shared" si="62"/>
        <v>0.375</v>
      </c>
      <c r="X53" s="29">
        <f t="shared" si="62"/>
        <v>0.25</v>
      </c>
      <c r="Y53" s="29">
        <f t="shared" si="62"/>
        <v>0.125</v>
      </c>
      <c r="BA53" t="s">
        <v>515</v>
      </c>
      <c r="BB53" t="s">
        <v>151</v>
      </c>
      <c r="BC53" t="s">
        <v>152</v>
      </c>
      <c r="BD53" t="s">
        <v>124</v>
      </c>
      <c r="BE53" t="s">
        <v>167</v>
      </c>
      <c r="BI53" t="s">
        <v>418</v>
      </c>
      <c r="BJ53" t="s">
        <v>221</v>
      </c>
      <c r="BK53" t="s">
        <v>306</v>
      </c>
      <c r="BL53">
        <v>2</v>
      </c>
      <c r="CA53" t="s">
        <v>237</v>
      </c>
      <c r="CB53" t="s">
        <v>151</v>
      </c>
      <c r="CC53" t="s">
        <v>149</v>
      </c>
      <c r="CD53" t="s">
        <v>124</v>
      </c>
      <c r="CI53" t="s">
        <v>168</v>
      </c>
      <c r="CJ53">
        <v>42360</v>
      </c>
      <c r="CK53" t="s">
        <v>238</v>
      </c>
      <c r="CL53">
        <v>1</v>
      </c>
    </row>
    <row r="54" spans="1:90">
      <c r="A54" s="33" t="s">
        <v>213</v>
      </c>
      <c r="B54" s="33" t="s">
        <v>172</v>
      </c>
      <c r="C54" s="33" t="s">
        <v>152</v>
      </c>
      <c r="D54" s="33" t="s">
        <v>124</v>
      </c>
      <c r="E54" s="33"/>
      <c r="F54" s="33"/>
      <c r="G54" s="33"/>
      <c r="H54" s="33"/>
      <c r="L54">
        <v>1</v>
      </c>
      <c r="T54" s="29">
        <f t="shared" ref="T54:Y54" si="63">T45/$Z45</f>
        <v>0</v>
      </c>
      <c r="U54" s="29">
        <f t="shared" si="63"/>
        <v>0</v>
      </c>
      <c r="V54" s="29">
        <f t="shared" si="63"/>
        <v>0</v>
      </c>
      <c r="W54" s="29">
        <f t="shared" si="63"/>
        <v>0</v>
      </c>
      <c r="X54" s="29">
        <f t="shared" si="63"/>
        <v>1</v>
      </c>
      <c r="Y54" s="29">
        <f t="shared" si="63"/>
        <v>0</v>
      </c>
      <c r="BA54" t="s">
        <v>516</v>
      </c>
      <c r="BB54" t="s">
        <v>151</v>
      </c>
      <c r="BC54" t="s">
        <v>152</v>
      </c>
      <c r="BD54" t="s">
        <v>124</v>
      </c>
      <c r="BE54" t="s">
        <v>167</v>
      </c>
      <c r="BI54" t="s">
        <v>221</v>
      </c>
      <c r="BJ54" t="s">
        <v>221</v>
      </c>
      <c r="BK54" t="s">
        <v>517</v>
      </c>
      <c r="BL54">
        <v>2</v>
      </c>
      <c r="CA54" t="s">
        <v>241</v>
      </c>
      <c r="CB54" t="s">
        <v>151</v>
      </c>
      <c r="CC54" t="s">
        <v>149</v>
      </c>
      <c r="CD54" t="s">
        <v>124</v>
      </c>
      <c r="CL54">
        <v>1</v>
      </c>
    </row>
    <row r="55" spans="1:90">
      <c r="A55" t="s">
        <v>214</v>
      </c>
      <c r="B55" t="s">
        <v>215</v>
      </c>
      <c r="C55" t="s">
        <v>216</v>
      </c>
      <c r="D55" t="s">
        <v>124</v>
      </c>
      <c r="E55" t="s">
        <v>167</v>
      </c>
      <c r="I55" t="s">
        <v>156</v>
      </c>
      <c r="J55" t="s">
        <v>156</v>
      </c>
      <c r="K55" t="s">
        <v>217</v>
      </c>
      <c r="T55" s="29">
        <f>T46/$Z46</f>
        <v>3.9671682626538987E-2</v>
      </c>
      <c r="U55" s="29">
        <f t="shared" ref="U55:Y55" si="64">U46/$Z46</f>
        <v>7.1135430916552667E-2</v>
      </c>
      <c r="V55" s="29">
        <f t="shared" si="64"/>
        <v>0.47058823529411764</v>
      </c>
      <c r="W55" s="29">
        <f t="shared" si="64"/>
        <v>0.16552667578659372</v>
      </c>
      <c r="X55" s="29">
        <f t="shared" si="64"/>
        <v>9.9863201094391243E-2</v>
      </c>
      <c r="Y55" s="29">
        <f t="shared" si="64"/>
        <v>0.15321477428180574</v>
      </c>
      <c r="BA55" t="s">
        <v>524</v>
      </c>
      <c r="BB55" t="s">
        <v>151</v>
      </c>
      <c r="BC55" t="s">
        <v>152</v>
      </c>
      <c r="BD55" t="s">
        <v>124</v>
      </c>
      <c r="BE55" t="s">
        <v>167</v>
      </c>
      <c r="BI55" t="s">
        <v>168</v>
      </c>
      <c r="BJ55" t="s">
        <v>168</v>
      </c>
      <c r="BK55" t="s">
        <v>468</v>
      </c>
      <c r="BL55">
        <v>2</v>
      </c>
      <c r="CA55" t="s">
        <v>243</v>
      </c>
      <c r="CB55" t="s">
        <v>116</v>
      </c>
      <c r="CC55" t="s">
        <v>117</v>
      </c>
      <c r="CD55" t="s">
        <v>118</v>
      </c>
      <c r="CL55">
        <v>1</v>
      </c>
    </row>
    <row r="56" spans="1:90">
      <c r="A56" t="s">
        <v>218</v>
      </c>
      <c r="B56" t="s">
        <v>151</v>
      </c>
      <c r="C56" t="s">
        <v>152</v>
      </c>
      <c r="D56" t="s">
        <v>118</v>
      </c>
      <c r="I56" t="s">
        <v>189</v>
      </c>
      <c r="J56" t="s">
        <v>189</v>
      </c>
      <c r="K56" t="s">
        <v>219</v>
      </c>
      <c r="L56">
        <v>1</v>
      </c>
      <c r="BA56" t="s">
        <v>526</v>
      </c>
      <c r="BB56" t="s">
        <v>151</v>
      </c>
      <c r="BC56" t="s">
        <v>149</v>
      </c>
      <c r="BD56" t="s">
        <v>124</v>
      </c>
      <c r="BE56" t="s">
        <v>167</v>
      </c>
      <c r="BI56" t="s">
        <v>181</v>
      </c>
      <c r="BJ56" t="s">
        <v>181</v>
      </c>
      <c r="BK56" t="s">
        <v>192</v>
      </c>
      <c r="BL56">
        <v>2</v>
      </c>
      <c r="CA56" t="s">
        <v>244</v>
      </c>
      <c r="CB56" t="s">
        <v>116</v>
      </c>
      <c r="CC56" t="s">
        <v>117</v>
      </c>
      <c r="CD56" t="s">
        <v>124</v>
      </c>
      <c r="CL56">
        <v>1</v>
      </c>
    </row>
    <row r="57" spans="1:90" ht="15" customHeight="1">
      <c r="A57" t="s">
        <v>220</v>
      </c>
      <c r="B57" t="s">
        <v>151</v>
      </c>
      <c r="C57" t="s">
        <v>152</v>
      </c>
      <c r="D57" t="s">
        <v>118</v>
      </c>
      <c r="E57" t="s">
        <v>167</v>
      </c>
      <c r="I57" t="s">
        <v>221</v>
      </c>
      <c r="J57" t="s">
        <v>221</v>
      </c>
      <c r="K57" t="s">
        <v>222</v>
      </c>
      <c r="L57">
        <v>1</v>
      </c>
      <c r="BA57" t="s">
        <v>529</v>
      </c>
      <c r="BB57" t="s">
        <v>151</v>
      </c>
      <c r="BC57" t="s">
        <v>152</v>
      </c>
      <c r="BD57" t="s">
        <v>124</v>
      </c>
      <c r="BE57" t="s">
        <v>167</v>
      </c>
      <c r="BI57" t="s">
        <v>418</v>
      </c>
      <c r="BJ57" t="s">
        <v>418</v>
      </c>
      <c r="BK57" t="s">
        <v>419</v>
      </c>
      <c r="BL57">
        <v>2</v>
      </c>
      <c r="CA57" t="s">
        <v>245</v>
      </c>
      <c r="CB57" t="s">
        <v>116</v>
      </c>
      <c r="CC57" t="s">
        <v>120</v>
      </c>
      <c r="CD57" t="s">
        <v>118</v>
      </c>
      <c r="CL57">
        <v>1</v>
      </c>
    </row>
    <row r="58" spans="1:90">
      <c r="A58" t="s">
        <v>223</v>
      </c>
      <c r="B58" t="s">
        <v>151</v>
      </c>
      <c r="C58" t="s">
        <v>149</v>
      </c>
      <c r="D58" t="s">
        <v>124</v>
      </c>
      <c r="E58" t="s">
        <v>153</v>
      </c>
      <c r="I58" t="s">
        <v>181</v>
      </c>
      <c r="J58" t="s">
        <v>181</v>
      </c>
      <c r="K58" t="s">
        <v>224</v>
      </c>
      <c r="L58">
        <v>1</v>
      </c>
      <c r="BA58" t="s">
        <v>532</v>
      </c>
      <c r="BB58" t="s">
        <v>151</v>
      </c>
      <c r="BC58" t="s">
        <v>152</v>
      </c>
      <c r="BD58" t="s">
        <v>124</v>
      </c>
      <c r="BE58" t="s">
        <v>167</v>
      </c>
      <c r="BI58" t="s">
        <v>186</v>
      </c>
      <c r="BJ58" t="s">
        <v>168</v>
      </c>
      <c r="BK58" t="s">
        <v>468</v>
      </c>
      <c r="BL58">
        <v>2</v>
      </c>
      <c r="CA58" t="s">
        <v>246</v>
      </c>
      <c r="CB58" t="s">
        <v>116</v>
      </c>
      <c r="CC58" t="s">
        <v>120</v>
      </c>
      <c r="CD58" t="s">
        <v>118</v>
      </c>
      <c r="CL58">
        <v>1</v>
      </c>
    </row>
    <row r="59" spans="1:90">
      <c r="A59" t="s">
        <v>225</v>
      </c>
      <c r="B59" t="s">
        <v>116</v>
      </c>
      <c r="C59" t="s">
        <v>149</v>
      </c>
      <c r="D59" t="s">
        <v>118</v>
      </c>
      <c r="L59">
        <v>1</v>
      </c>
      <c r="BA59" t="s">
        <v>533</v>
      </c>
      <c r="BB59" t="s">
        <v>175</v>
      </c>
      <c r="BC59" t="s">
        <v>149</v>
      </c>
      <c r="BD59" t="s">
        <v>132</v>
      </c>
      <c r="BE59" t="s">
        <v>167</v>
      </c>
      <c r="BI59" t="s">
        <v>189</v>
      </c>
      <c r="BJ59" t="s">
        <v>189</v>
      </c>
      <c r="BK59" t="s">
        <v>534</v>
      </c>
      <c r="BL59">
        <v>2</v>
      </c>
      <c r="CA59" t="s">
        <v>247</v>
      </c>
      <c r="CB59" t="s">
        <v>116</v>
      </c>
      <c r="CC59" t="s">
        <v>117</v>
      </c>
      <c r="CD59" t="s">
        <v>118</v>
      </c>
      <c r="CL59">
        <v>1</v>
      </c>
    </row>
    <row r="60" spans="1:90">
      <c r="A60" t="s">
        <v>226</v>
      </c>
      <c r="B60" t="s">
        <v>151</v>
      </c>
      <c r="C60" t="s">
        <v>152</v>
      </c>
      <c r="D60" t="s">
        <v>118</v>
      </c>
      <c r="L60">
        <v>1</v>
      </c>
      <c r="BA60" t="s">
        <v>541</v>
      </c>
      <c r="BB60" t="s">
        <v>175</v>
      </c>
      <c r="BC60" t="s">
        <v>152</v>
      </c>
      <c r="BD60" t="s">
        <v>124</v>
      </c>
      <c r="BE60" t="s">
        <v>167</v>
      </c>
      <c r="BI60" t="s">
        <v>181</v>
      </c>
      <c r="BJ60" t="s">
        <v>181</v>
      </c>
      <c r="BK60" t="s">
        <v>542</v>
      </c>
      <c r="BL60">
        <v>2</v>
      </c>
      <c r="CA60" t="s">
        <v>248</v>
      </c>
      <c r="CB60" t="s">
        <v>116</v>
      </c>
      <c r="CC60" t="s">
        <v>117</v>
      </c>
      <c r="CD60" t="s">
        <v>118</v>
      </c>
      <c r="CL60">
        <v>1</v>
      </c>
    </row>
    <row r="61" spans="1:90" ht="15.75" thickBot="1">
      <c r="A61" t="s">
        <v>227</v>
      </c>
      <c r="B61" t="s">
        <v>151</v>
      </c>
      <c r="C61" t="s">
        <v>152</v>
      </c>
      <c r="D61" t="s">
        <v>118</v>
      </c>
      <c r="L61">
        <v>1</v>
      </c>
      <c r="S61" s="659" t="s">
        <v>1188</v>
      </c>
      <c r="T61" s="659"/>
      <c r="U61" s="659"/>
      <c r="V61" s="659"/>
      <c r="W61" s="659"/>
      <c r="Y61" t="s">
        <v>1201</v>
      </c>
      <c r="BA61" t="s">
        <v>544</v>
      </c>
      <c r="BB61" t="s">
        <v>175</v>
      </c>
      <c r="BC61" t="s">
        <v>152</v>
      </c>
      <c r="BD61" t="s">
        <v>118</v>
      </c>
      <c r="BE61" t="s">
        <v>167</v>
      </c>
      <c r="BI61" t="s">
        <v>189</v>
      </c>
      <c r="BJ61" t="s">
        <v>189</v>
      </c>
      <c r="BK61" t="s">
        <v>545</v>
      </c>
      <c r="BL61">
        <v>2</v>
      </c>
      <c r="CA61" t="s">
        <v>249</v>
      </c>
      <c r="CB61" t="s">
        <v>116</v>
      </c>
      <c r="CC61" t="s">
        <v>120</v>
      </c>
      <c r="CD61" t="s">
        <v>118</v>
      </c>
      <c r="CL61">
        <v>1</v>
      </c>
    </row>
    <row r="62" spans="1:90" ht="60">
      <c r="A62" t="s">
        <v>228</v>
      </c>
      <c r="B62" t="s">
        <v>162</v>
      </c>
      <c r="C62" t="s">
        <v>149</v>
      </c>
      <c r="D62" t="s">
        <v>118</v>
      </c>
      <c r="L62">
        <v>1</v>
      </c>
      <c r="S62" s="38" t="s">
        <v>133</v>
      </c>
      <c r="T62" s="27" t="s">
        <v>1169</v>
      </c>
      <c r="U62" s="27" t="s">
        <v>1170</v>
      </c>
      <c r="V62" s="27" t="s">
        <v>1171</v>
      </c>
      <c r="W62" s="27" t="s">
        <v>1200</v>
      </c>
      <c r="BA62" s="33" t="s">
        <v>550</v>
      </c>
      <c r="BB62" s="33" t="s">
        <v>172</v>
      </c>
      <c r="BC62" s="33" t="s">
        <v>152</v>
      </c>
      <c r="BD62" s="33" t="s">
        <v>118</v>
      </c>
      <c r="BE62" s="33" t="s">
        <v>167</v>
      </c>
      <c r="BF62" s="33"/>
      <c r="BG62" s="33"/>
      <c r="BH62" s="33"/>
      <c r="BI62" t="s">
        <v>181</v>
      </c>
      <c r="BJ62" t="s">
        <v>181</v>
      </c>
      <c r="BK62" t="s">
        <v>442</v>
      </c>
      <c r="BL62">
        <v>2</v>
      </c>
      <c r="CA62" t="s">
        <v>250</v>
      </c>
      <c r="CB62" t="s">
        <v>116</v>
      </c>
      <c r="CC62" t="s">
        <v>117</v>
      </c>
      <c r="CD62" t="s">
        <v>118</v>
      </c>
      <c r="CL62">
        <v>1</v>
      </c>
    </row>
    <row r="63" spans="1:90" ht="15">
      <c r="A63" t="s">
        <v>229</v>
      </c>
      <c r="B63" t="s">
        <v>151</v>
      </c>
      <c r="C63" t="s">
        <v>149</v>
      </c>
      <c r="D63" t="s">
        <v>124</v>
      </c>
      <c r="E63" t="s">
        <v>167</v>
      </c>
      <c r="I63" t="s">
        <v>181</v>
      </c>
      <c r="J63" t="s">
        <v>181</v>
      </c>
      <c r="K63" t="s">
        <v>192</v>
      </c>
      <c r="L63">
        <v>1</v>
      </c>
      <c r="S63" s="35" t="s">
        <v>138</v>
      </c>
      <c r="T63" s="29">
        <f t="shared" ref="T63:T68" si="65">Z28</f>
        <v>1.7195767195767195E-2</v>
      </c>
      <c r="U63" s="81">
        <f t="shared" ref="U63:U68" si="66">ABS(T63*$U$69)</f>
        <v>51.587301587301582</v>
      </c>
      <c r="V63" s="55">
        <f t="shared" ref="V63:V68" si="67">W81</f>
        <v>322</v>
      </c>
      <c r="W63" s="103">
        <f>U63*V63</f>
        <v>16611.111111111109</v>
      </c>
      <c r="Y63" s="74" t="s">
        <v>1194</v>
      </c>
      <c r="Z63" s="74" t="s">
        <v>1199</v>
      </c>
      <c r="AA63" s="74" t="s">
        <v>1195</v>
      </c>
      <c r="AB63" s="74" t="s">
        <v>1196</v>
      </c>
      <c r="AC63" s="74" t="s">
        <v>1197</v>
      </c>
      <c r="BA63" t="s">
        <v>568</v>
      </c>
      <c r="BB63" t="s">
        <v>116</v>
      </c>
      <c r="BC63" t="s">
        <v>277</v>
      </c>
      <c r="BD63" t="s">
        <v>118</v>
      </c>
      <c r="BJ63" t="s">
        <v>221</v>
      </c>
      <c r="BK63" t="s">
        <v>569</v>
      </c>
      <c r="BL63">
        <v>2</v>
      </c>
      <c r="CA63" t="s">
        <v>251</v>
      </c>
      <c r="CB63" t="s">
        <v>116</v>
      </c>
      <c r="CC63" t="s">
        <v>149</v>
      </c>
      <c r="CD63" t="s">
        <v>118</v>
      </c>
      <c r="CL63">
        <v>1</v>
      </c>
    </row>
    <row r="64" spans="1:90">
      <c r="A64" t="s">
        <v>230</v>
      </c>
      <c r="B64" t="s">
        <v>151</v>
      </c>
      <c r="C64" t="s">
        <v>152</v>
      </c>
      <c r="D64" t="s">
        <v>118</v>
      </c>
      <c r="E64" t="s">
        <v>167</v>
      </c>
      <c r="I64" t="s">
        <v>181</v>
      </c>
      <c r="J64" t="s">
        <v>181</v>
      </c>
      <c r="K64" t="s">
        <v>192</v>
      </c>
      <c r="L64">
        <v>1</v>
      </c>
      <c r="S64" s="35" t="s">
        <v>118</v>
      </c>
      <c r="T64" s="29">
        <f t="shared" si="65"/>
        <v>0.52645502645502651</v>
      </c>
      <c r="U64" s="55">
        <f t="shared" si="66"/>
        <v>1579.3650793650795</v>
      </c>
      <c r="V64" s="55">
        <f t="shared" si="67"/>
        <v>430</v>
      </c>
      <c r="W64" s="103">
        <f t="shared" ref="W64:W67" si="68">U64*V64</f>
        <v>679126.98412698414</v>
      </c>
      <c r="Y64" s="82">
        <v>18</v>
      </c>
      <c r="Z64" s="94" t="e">
        <f>'Summary '!#REF!</f>
        <v>#REF!</v>
      </c>
      <c r="AA64" s="82" t="e">
        <f>'Summary '!#REF!</f>
        <v>#REF!</v>
      </c>
      <c r="AB64" s="82" t="e">
        <f>'Summary '!#REF!</f>
        <v>#REF!</v>
      </c>
      <c r="AC64" s="82" t="e">
        <f>'Summary '!#REF!</f>
        <v>#REF!</v>
      </c>
      <c r="AD64" t="s">
        <v>1202</v>
      </c>
      <c r="BA64" t="s">
        <v>589</v>
      </c>
      <c r="BB64" t="s">
        <v>116</v>
      </c>
      <c r="BC64" t="s">
        <v>277</v>
      </c>
      <c r="BD64" t="s">
        <v>118</v>
      </c>
      <c r="BJ64" t="s">
        <v>181</v>
      </c>
      <c r="BK64" t="s">
        <v>590</v>
      </c>
      <c r="BL64">
        <v>2</v>
      </c>
      <c r="CA64" t="s">
        <v>252</v>
      </c>
      <c r="CB64" t="s">
        <v>116</v>
      </c>
      <c r="CC64" t="s">
        <v>149</v>
      </c>
      <c r="CD64" t="s">
        <v>118</v>
      </c>
      <c r="CJ64" t="s">
        <v>181</v>
      </c>
      <c r="CL64">
        <v>1</v>
      </c>
    </row>
    <row r="65" spans="1:90" ht="15" thickBot="1">
      <c r="A65" t="s">
        <v>231</v>
      </c>
      <c r="B65" t="s">
        <v>151</v>
      </c>
      <c r="C65" t="s">
        <v>152</v>
      </c>
      <c r="D65" t="s">
        <v>132</v>
      </c>
      <c r="E65" t="s">
        <v>153</v>
      </c>
      <c r="I65">
        <v>42334</v>
      </c>
      <c r="J65">
        <v>42334</v>
      </c>
      <c r="K65" t="s">
        <v>207</v>
      </c>
      <c r="L65">
        <v>1</v>
      </c>
      <c r="S65" s="35" t="s">
        <v>124</v>
      </c>
      <c r="T65" s="29">
        <f t="shared" si="65"/>
        <v>0.38492063492063494</v>
      </c>
      <c r="U65" s="55">
        <f t="shared" si="66"/>
        <v>1154.7619047619048</v>
      </c>
      <c r="V65" s="55">
        <f t="shared" si="67"/>
        <v>618</v>
      </c>
      <c r="W65" s="103">
        <f t="shared" si="68"/>
        <v>713642.85714285716</v>
      </c>
      <c r="Y65" s="83">
        <f>$W$69/(Y64/12)</f>
        <v>1102275.1322751322</v>
      </c>
      <c r="Z65" s="83" t="e">
        <f>($W$69/(Z64/12))</f>
        <v>#REF!</v>
      </c>
      <c r="AA65" s="83" t="e">
        <f>($W$69/(AA64/12))</f>
        <v>#REF!</v>
      </c>
      <c r="AB65" s="83" t="e">
        <f>($W$69/(AB64/12))</f>
        <v>#REF!</v>
      </c>
      <c r="AC65" s="83" t="e">
        <f>($W$69/(AC64/12))</f>
        <v>#REF!</v>
      </c>
      <c r="BA65" t="s">
        <v>591</v>
      </c>
      <c r="BB65" t="s">
        <v>151</v>
      </c>
      <c r="BC65" t="s">
        <v>152</v>
      </c>
      <c r="BD65" t="s">
        <v>124</v>
      </c>
      <c r="BF65" t="s">
        <v>163</v>
      </c>
      <c r="BH65" t="s">
        <v>164</v>
      </c>
      <c r="BJ65" t="s">
        <v>168</v>
      </c>
      <c r="BK65" t="s">
        <v>592</v>
      </c>
      <c r="BL65">
        <v>2</v>
      </c>
      <c r="CA65" t="s">
        <v>257</v>
      </c>
      <c r="CB65" t="s">
        <v>151</v>
      </c>
      <c r="CC65" t="s">
        <v>149</v>
      </c>
      <c r="CD65" t="s">
        <v>118</v>
      </c>
      <c r="CL65">
        <v>1</v>
      </c>
    </row>
    <row r="66" spans="1:90">
      <c r="A66" t="s">
        <v>232</v>
      </c>
      <c r="B66" t="s">
        <v>151</v>
      </c>
      <c r="C66" t="s">
        <v>152</v>
      </c>
      <c r="D66" t="s">
        <v>132</v>
      </c>
      <c r="E66" t="s">
        <v>153</v>
      </c>
      <c r="I66">
        <v>42321</v>
      </c>
      <c r="J66">
        <v>42321</v>
      </c>
      <c r="K66" t="s">
        <v>233</v>
      </c>
      <c r="L66">
        <v>1</v>
      </c>
      <c r="S66" s="35" t="s">
        <v>132</v>
      </c>
      <c r="T66" s="29">
        <f t="shared" si="65"/>
        <v>5.9523809523809521E-2</v>
      </c>
      <c r="U66" s="55">
        <f t="shared" si="66"/>
        <v>178.57142857142856</v>
      </c>
      <c r="V66" s="55">
        <f t="shared" si="67"/>
        <v>1081</v>
      </c>
      <c r="W66" s="103">
        <f t="shared" si="68"/>
        <v>193035.71428571426</v>
      </c>
      <c r="Z66" s="84"/>
      <c r="AA66" s="84"/>
      <c r="AB66" s="84"/>
      <c r="AC66" s="84"/>
      <c r="BA66" t="s">
        <v>594</v>
      </c>
      <c r="BB66" t="s">
        <v>151</v>
      </c>
      <c r="BC66" t="s">
        <v>149</v>
      </c>
      <c r="BD66" t="s">
        <v>118</v>
      </c>
      <c r="BJ66" t="s">
        <v>168</v>
      </c>
      <c r="BK66" t="s">
        <v>219</v>
      </c>
      <c r="BL66">
        <v>2</v>
      </c>
      <c r="CA66" t="s">
        <v>258</v>
      </c>
      <c r="CB66" t="s">
        <v>160</v>
      </c>
      <c r="CC66" t="s">
        <v>120</v>
      </c>
      <c r="CD66" t="s">
        <v>118</v>
      </c>
      <c r="CL66">
        <v>1</v>
      </c>
    </row>
    <row r="67" spans="1:90">
      <c r="A67" t="s">
        <v>234</v>
      </c>
      <c r="B67" t="s">
        <v>175</v>
      </c>
      <c r="C67" t="s">
        <v>152</v>
      </c>
      <c r="D67" t="s">
        <v>118</v>
      </c>
      <c r="E67" t="s">
        <v>235</v>
      </c>
      <c r="I67" t="s">
        <v>156</v>
      </c>
      <c r="J67" t="s">
        <v>156</v>
      </c>
      <c r="K67" t="s">
        <v>236</v>
      </c>
      <c r="S67" s="35" t="s">
        <v>143</v>
      </c>
      <c r="T67" s="29">
        <f t="shared" si="65"/>
        <v>1.0582010582010581E-2</v>
      </c>
      <c r="U67" s="55">
        <f t="shared" si="66"/>
        <v>31.746031746031743</v>
      </c>
      <c r="V67" s="55">
        <f t="shared" si="67"/>
        <v>1382</v>
      </c>
      <c r="W67" s="103">
        <f t="shared" si="68"/>
        <v>43873.015873015873</v>
      </c>
      <c r="BA67" t="s">
        <v>595</v>
      </c>
      <c r="BB67" t="s">
        <v>151</v>
      </c>
      <c r="BC67" t="s">
        <v>152</v>
      </c>
      <c r="BD67" t="s">
        <v>132</v>
      </c>
      <c r="BJ67" t="s">
        <v>168</v>
      </c>
      <c r="BK67" t="s">
        <v>596</v>
      </c>
      <c r="BL67">
        <v>2</v>
      </c>
      <c r="CA67" t="s">
        <v>262</v>
      </c>
      <c r="CB67" t="s">
        <v>162</v>
      </c>
      <c r="CC67" t="s">
        <v>152</v>
      </c>
      <c r="CD67" t="s">
        <v>118</v>
      </c>
      <c r="CL67">
        <v>1</v>
      </c>
    </row>
    <row r="68" spans="1:90">
      <c r="A68" t="s">
        <v>237</v>
      </c>
      <c r="B68" t="s">
        <v>151</v>
      </c>
      <c r="C68" t="s">
        <v>149</v>
      </c>
      <c r="D68" t="s">
        <v>124</v>
      </c>
      <c r="I68" t="s">
        <v>168</v>
      </c>
      <c r="J68">
        <v>42360</v>
      </c>
      <c r="K68" t="s">
        <v>238</v>
      </c>
      <c r="L68">
        <v>1</v>
      </c>
      <c r="S68" s="39" t="s">
        <v>145</v>
      </c>
      <c r="T68" s="29">
        <f t="shared" si="65"/>
        <v>1.3227513227513227E-3</v>
      </c>
      <c r="U68" s="55">
        <f t="shared" si="66"/>
        <v>3.9682539682539679</v>
      </c>
      <c r="V68" s="55">
        <f t="shared" si="67"/>
        <v>1795</v>
      </c>
      <c r="W68" s="103">
        <f>ABS(U68*V68)</f>
        <v>7123.0158730158728</v>
      </c>
      <c r="BA68" t="s">
        <v>597</v>
      </c>
      <c r="BB68" t="s">
        <v>151</v>
      </c>
      <c r="BC68" t="s">
        <v>152</v>
      </c>
      <c r="BD68" t="s">
        <v>118</v>
      </c>
      <c r="BE68" t="s">
        <v>167</v>
      </c>
      <c r="BF68" t="s">
        <v>163</v>
      </c>
      <c r="BH68" t="s">
        <v>164</v>
      </c>
      <c r="BJ68" t="s">
        <v>189</v>
      </c>
      <c r="BK68" t="s">
        <v>598</v>
      </c>
      <c r="BL68">
        <v>2</v>
      </c>
      <c r="CA68" t="s">
        <v>263</v>
      </c>
      <c r="CB68" t="s">
        <v>162</v>
      </c>
      <c r="CC68" t="s">
        <v>152</v>
      </c>
      <c r="CD68" t="s">
        <v>118</v>
      </c>
      <c r="CL68">
        <v>1</v>
      </c>
    </row>
    <row r="69" spans="1:90" ht="15" thickBot="1">
      <c r="A69" t="s">
        <v>239</v>
      </c>
      <c r="B69" t="s">
        <v>151</v>
      </c>
      <c r="C69" t="s">
        <v>149</v>
      </c>
      <c r="D69" t="s">
        <v>124</v>
      </c>
      <c r="E69" t="s">
        <v>153</v>
      </c>
      <c r="K69" t="s">
        <v>240</v>
      </c>
      <c r="L69">
        <v>1</v>
      </c>
      <c r="S69" s="40" t="s">
        <v>1158</v>
      </c>
      <c r="T69" s="31">
        <f>SUM(T63:T68)</f>
        <v>1</v>
      </c>
      <c r="U69" s="56">
        <f>'Summary '!A31</f>
        <v>3000</v>
      </c>
      <c r="V69" s="56"/>
      <c r="W69" s="104">
        <f>SUM(W63:W68)</f>
        <v>1653412.6984126985</v>
      </c>
      <c r="Z69" s="33" t="s">
        <v>1246</v>
      </c>
      <c r="BA69" t="s">
        <v>599</v>
      </c>
      <c r="BB69" t="s">
        <v>151</v>
      </c>
      <c r="BC69" t="s">
        <v>277</v>
      </c>
      <c r="BD69" t="s">
        <v>124</v>
      </c>
      <c r="BE69" t="s">
        <v>167</v>
      </c>
      <c r="BF69" t="s">
        <v>163</v>
      </c>
      <c r="BH69" t="s">
        <v>164</v>
      </c>
      <c r="BJ69" t="s">
        <v>221</v>
      </c>
      <c r="BK69" t="s">
        <v>192</v>
      </c>
      <c r="BL69">
        <v>2</v>
      </c>
      <c r="CA69" t="s">
        <v>264</v>
      </c>
      <c r="CB69" t="s">
        <v>162</v>
      </c>
      <c r="CC69" t="s">
        <v>149</v>
      </c>
      <c r="CD69" t="s">
        <v>118</v>
      </c>
      <c r="CL69">
        <v>1</v>
      </c>
    </row>
    <row r="70" spans="1:90">
      <c r="A70" t="s">
        <v>241</v>
      </c>
      <c r="B70" t="s">
        <v>151</v>
      </c>
      <c r="C70" t="s">
        <v>149</v>
      </c>
      <c r="D70" t="s">
        <v>124</v>
      </c>
      <c r="L70">
        <v>1</v>
      </c>
      <c r="Z70" s="33" t="s">
        <v>1247</v>
      </c>
      <c r="BA70" t="s">
        <v>602</v>
      </c>
      <c r="BB70" t="s">
        <v>151</v>
      </c>
      <c r="BC70" t="s">
        <v>149</v>
      </c>
      <c r="BD70" t="s">
        <v>124</v>
      </c>
      <c r="BE70" t="s">
        <v>167</v>
      </c>
      <c r="BF70" t="s">
        <v>163</v>
      </c>
      <c r="BH70" t="s">
        <v>164</v>
      </c>
      <c r="BI70" t="s">
        <v>221</v>
      </c>
      <c r="BJ70" t="s">
        <v>189</v>
      </c>
      <c r="BK70" t="s">
        <v>603</v>
      </c>
      <c r="BL70">
        <v>2</v>
      </c>
      <c r="CA70" t="s">
        <v>265</v>
      </c>
      <c r="CB70" t="s">
        <v>162</v>
      </c>
      <c r="CC70" t="s">
        <v>152</v>
      </c>
      <c r="CD70" t="s">
        <v>118</v>
      </c>
      <c r="CL70">
        <v>1</v>
      </c>
    </row>
    <row r="71" spans="1:90" ht="15">
      <c r="A71" t="s">
        <v>242</v>
      </c>
      <c r="B71" t="s">
        <v>151</v>
      </c>
      <c r="C71" t="s">
        <v>149</v>
      </c>
      <c r="D71" t="s">
        <v>124</v>
      </c>
      <c r="E71" t="s">
        <v>153</v>
      </c>
      <c r="I71" t="s">
        <v>181</v>
      </c>
      <c r="J71" t="s">
        <v>181</v>
      </c>
      <c r="K71" t="s">
        <v>157</v>
      </c>
      <c r="L71">
        <v>1</v>
      </c>
      <c r="S71" s="1" t="s">
        <v>1161</v>
      </c>
      <c r="BA71" t="s">
        <v>604</v>
      </c>
      <c r="BB71" t="s">
        <v>151</v>
      </c>
      <c r="BC71" t="s">
        <v>152</v>
      </c>
      <c r="BD71" t="s">
        <v>118</v>
      </c>
      <c r="BE71" t="s">
        <v>167</v>
      </c>
      <c r="BJ71" t="s">
        <v>186</v>
      </c>
      <c r="BK71" t="s">
        <v>605</v>
      </c>
      <c r="BL71">
        <v>2</v>
      </c>
      <c r="CA71" t="s">
        <v>267</v>
      </c>
      <c r="CB71" t="s">
        <v>151</v>
      </c>
      <c r="CC71" t="s">
        <v>149</v>
      </c>
      <c r="CD71" t="s">
        <v>124</v>
      </c>
      <c r="CE71" t="s">
        <v>167</v>
      </c>
      <c r="CI71" t="s">
        <v>156</v>
      </c>
      <c r="CJ71" t="s">
        <v>156</v>
      </c>
      <c r="CK71" t="s">
        <v>268</v>
      </c>
      <c r="CL71">
        <v>1</v>
      </c>
    </row>
    <row r="72" spans="1:90">
      <c r="A72" t="s">
        <v>243</v>
      </c>
      <c r="B72" t="s">
        <v>116</v>
      </c>
      <c r="C72" t="s">
        <v>117</v>
      </c>
      <c r="D72" t="s">
        <v>118</v>
      </c>
      <c r="L72">
        <v>1</v>
      </c>
      <c r="S72" t="s">
        <v>1189</v>
      </c>
      <c r="BA72" t="s">
        <v>606</v>
      </c>
      <c r="BB72" t="s">
        <v>151</v>
      </c>
      <c r="BC72" t="s">
        <v>149</v>
      </c>
      <c r="BD72" t="s">
        <v>118</v>
      </c>
      <c r="BE72" t="s">
        <v>167</v>
      </c>
      <c r="BJ72" t="s">
        <v>181</v>
      </c>
      <c r="BK72" t="s">
        <v>192</v>
      </c>
      <c r="BL72">
        <v>2</v>
      </c>
      <c r="CA72" t="s">
        <v>271</v>
      </c>
      <c r="CB72" t="s">
        <v>151</v>
      </c>
      <c r="CC72" t="s">
        <v>152</v>
      </c>
      <c r="CD72" t="s">
        <v>132</v>
      </c>
      <c r="CL72">
        <v>1</v>
      </c>
    </row>
    <row r="73" spans="1:90">
      <c r="A73" t="s">
        <v>244</v>
      </c>
      <c r="B73" t="s">
        <v>116</v>
      </c>
      <c r="C73" t="s">
        <v>117</v>
      </c>
      <c r="D73" t="s">
        <v>124</v>
      </c>
      <c r="L73">
        <v>1</v>
      </c>
      <c r="S73" t="s">
        <v>1173</v>
      </c>
      <c r="BA73" t="s">
        <v>620</v>
      </c>
      <c r="BB73" t="s">
        <v>151</v>
      </c>
      <c r="BC73" t="s">
        <v>149</v>
      </c>
      <c r="BD73" t="s">
        <v>118</v>
      </c>
      <c r="BE73" t="s">
        <v>167</v>
      </c>
      <c r="BI73" t="s">
        <v>181</v>
      </c>
      <c r="BJ73" t="s">
        <v>181</v>
      </c>
      <c r="BK73" t="s">
        <v>192</v>
      </c>
      <c r="BL73">
        <v>2</v>
      </c>
      <c r="CA73" t="s">
        <v>272</v>
      </c>
      <c r="CB73" t="s">
        <v>175</v>
      </c>
      <c r="CC73" t="s">
        <v>152</v>
      </c>
      <c r="CD73" t="s">
        <v>124</v>
      </c>
      <c r="CF73" t="s">
        <v>163</v>
      </c>
      <c r="CG73" t="s">
        <v>273</v>
      </c>
      <c r="CH73" t="s">
        <v>164</v>
      </c>
      <c r="CL73">
        <v>1</v>
      </c>
    </row>
    <row r="74" spans="1:90">
      <c r="A74" t="s">
        <v>245</v>
      </c>
      <c r="B74" t="s">
        <v>116</v>
      </c>
      <c r="C74" t="s">
        <v>120</v>
      </c>
      <c r="D74" t="s">
        <v>118</v>
      </c>
      <c r="L74">
        <v>1</v>
      </c>
      <c r="S74" t="s">
        <v>1198</v>
      </c>
      <c r="BA74" t="s">
        <v>625</v>
      </c>
      <c r="BB74" t="s">
        <v>151</v>
      </c>
      <c r="BC74" t="s">
        <v>277</v>
      </c>
      <c r="BD74" t="s">
        <v>132</v>
      </c>
      <c r="BE74" t="s">
        <v>167</v>
      </c>
      <c r="BI74" t="s">
        <v>221</v>
      </c>
      <c r="BJ74" t="s">
        <v>221</v>
      </c>
      <c r="BK74" t="s">
        <v>222</v>
      </c>
      <c r="BL74">
        <v>2</v>
      </c>
      <c r="CA74" s="33" t="s">
        <v>274</v>
      </c>
      <c r="CB74" s="33" t="s">
        <v>172</v>
      </c>
      <c r="CC74" s="33" t="s">
        <v>149</v>
      </c>
      <c r="CD74" s="33" t="s">
        <v>124</v>
      </c>
      <c r="CE74" s="33"/>
      <c r="CF74" s="33"/>
      <c r="CG74" s="33"/>
      <c r="CH74" s="33"/>
      <c r="CL74">
        <v>1</v>
      </c>
    </row>
    <row r="75" spans="1:90">
      <c r="A75" t="s">
        <v>246</v>
      </c>
      <c r="B75" t="s">
        <v>116</v>
      </c>
      <c r="C75" t="s">
        <v>120</v>
      </c>
      <c r="D75" t="s">
        <v>118</v>
      </c>
      <c r="L75">
        <v>1</v>
      </c>
      <c r="BA75" t="s">
        <v>626</v>
      </c>
      <c r="BB75" t="s">
        <v>151</v>
      </c>
      <c r="BC75" t="s">
        <v>149</v>
      </c>
      <c r="BD75" t="s">
        <v>124</v>
      </c>
      <c r="BE75" t="s">
        <v>167</v>
      </c>
      <c r="BI75" t="s">
        <v>168</v>
      </c>
      <c r="BJ75" t="s">
        <v>181</v>
      </c>
      <c r="BK75" t="s">
        <v>627</v>
      </c>
      <c r="BL75">
        <v>2</v>
      </c>
      <c r="CA75" s="33" t="s">
        <v>275</v>
      </c>
      <c r="CB75" s="33" t="s">
        <v>172</v>
      </c>
      <c r="CC75" s="33" t="s">
        <v>152</v>
      </c>
      <c r="CD75" s="33" t="s">
        <v>132</v>
      </c>
      <c r="CE75" s="33"/>
      <c r="CF75" s="33"/>
      <c r="CG75" s="33"/>
      <c r="CH75" s="33"/>
      <c r="CL75">
        <v>1</v>
      </c>
    </row>
    <row r="76" spans="1:90">
      <c r="A76" t="s">
        <v>247</v>
      </c>
      <c r="B76" t="s">
        <v>116</v>
      </c>
      <c r="C76" t="s">
        <v>117</v>
      </c>
      <c r="D76" t="s">
        <v>118</v>
      </c>
      <c r="L76">
        <v>1</v>
      </c>
      <c r="BA76" t="s">
        <v>629</v>
      </c>
      <c r="BB76" t="s">
        <v>116</v>
      </c>
      <c r="BC76" t="s">
        <v>149</v>
      </c>
      <c r="BD76" t="s">
        <v>124</v>
      </c>
      <c r="BE76" t="s">
        <v>167</v>
      </c>
      <c r="BI76" t="s">
        <v>181</v>
      </c>
      <c r="BJ76" t="s">
        <v>181</v>
      </c>
      <c r="BK76" t="s">
        <v>169</v>
      </c>
      <c r="BL76">
        <v>2</v>
      </c>
      <c r="CA76" s="33" t="s">
        <v>276</v>
      </c>
      <c r="CB76" s="33" t="s">
        <v>172</v>
      </c>
      <c r="CC76" s="33" t="s">
        <v>277</v>
      </c>
      <c r="CD76" s="33" t="s">
        <v>124</v>
      </c>
      <c r="CE76" s="33"/>
      <c r="CF76" s="33"/>
      <c r="CG76" s="33"/>
      <c r="CH76" s="33"/>
      <c r="CL76">
        <v>1</v>
      </c>
    </row>
    <row r="77" spans="1:90">
      <c r="A77" t="s">
        <v>248</v>
      </c>
      <c r="B77" t="s">
        <v>116</v>
      </c>
      <c r="C77" t="s">
        <v>117</v>
      </c>
      <c r="D77" t="s">
        <v>118</v>
      </c>
      <c r="L77">
        <v>1</v>
      </c>
      <c r="AB77" t="s">
        <v>1199</v>
      </c>
      <c r="AC77" t="s">
        <v>1195</v>
      </c>
      <c r="AD77" t="s">
        <v>1196</v>
      </c>
      <c r="AE77" t="s">
        <v>1197</v>
      </c>
      <c r="AF77" t="s">
        <v>1253</v>
      </c>
      <c r="AG77" t="s">
        <v>1254</v>
      </c>
      <c r="BA77" t="s">
        <v>633</v>
      </c>
      <c r="BB77" t="s">
        <v>151</v>
      </c>
      <c r="BC77" t="s">
        <v>149</v>
      </c>
      <c r="BD77" t="s">
        <v>124</v>
      </c>
      <c r="BE77" t="s">
        <v>167</v>
      </c>
      <c r="BI77" t="s">
        <v>168</v>
      </c>
      <c r="BJ77" t="s">
        <v>168</v>
      </c>
      <c r="BK77" t="s">
        <v>634</v>
      </c>
      <c r="BL77">
        <v>2</v>
      </c>
      <c r="CA77" t="s">
        <v>278</v>
      </c>
      <c r="CB77" t="s">
        <v>279</v>
      </c>
      <c r="CC77" t="s">
        <v>152</v>
      </c>
      <c r="CD77" t="s">
        <v>124</v>
      </c>
      <c r="CL77">
        <v>1</v>
      </c>
    </row>
    <row r="78" spans="1:90" ht="16.5" thickBot="1">
      <c r="A78" t="s">
        <v>249</v>
      </c>
      <c r="B78" t="s">
        <v>116</v>
      </c>
      <c r="C78" t="s">
        <v>120</v>
      </c>
      <c r="D78" t="s">
        <v>118</v>
      </c>
      <c r="L78">
        <v>1</v>
      </c>
      <c r="S78" s="102" t="s">
        <v>1167</v>
      </c>
      <c r="T78" s="102"/>
      <c r="U78" s="102"/>
      <c r="V78" s="102"/>
      <c r="W78" s="102"/>
      <c r="AA78" t="s">
        <v>1255</v>
      </c>
      <c r="AB78">
        <v>2000000</v>
      </c>
      <c r="AC78">
        <f>AB78*0.9</f>
        <v>1800000</v>
      </c>
      <c r="AD78">
        <f t="shared" ref="AD78:AF78" si="69">AC78*0.9</f>
        <v>1620000</v>
      </c>
      <c r="AE78">
        <f t="shared" si="69"/>
        <v>1458000</v>
      </c>
      <c r="AF78">
        <f t="shared" si="69"/>
        <v>1312200</v>
      </c>
      <c r="AG78">
        <f>AF78</f>
        <v>1312200</v>
      </c>
      <c r="BA78" t="s">
        <v>635</v>
      </c>
      <c r="BB78" t="s">
        <v>151</v>
      </c>
      <c r="BC78" t="s">
        <v>152</v>
      </c>
      <c r="BD78" t="s">
        <v>124</v>
      </c>
      <c r="BE78" t="s">
        <v>167</v>
      </c>
      <c r="BI78" t="s">
        <v>168</v>
      </c>
      <c r="BJ78" t="s">
        <v>168</v>
      </c>
      <c r="BK78" t="s">
        <v>636</v>
      </c>
      <c r="BL78">
        <v>2</v>
      </c>
      <c r="CA78" t="s">
        <v>280</v>
      </c>
      <c r="CB78" t="s">
        <v>279</v>
      </c>
      <c r="CC78" t="s">
        <v>149</v>
      </c>
      <c r="CD78" t="s">
        <v>124</v>
      </c>
      <c r="CL78">
        <v>1</v>
      </c>
    </row>
    <row r="79" spans="1:90" ht="30">
      <c r="A79" t="s">
        <v>250</v>
      </c>
      <c r="B79" t="s">
        <v>116</v>
      </c>
      <c r="C79" t="s">
        <v>117</v>
      </c>
      <c r="D79" t="s">
        <v>118</v>
      </c>
      <c r="L79">
        <v>1</v>
      </c>
      <c r="S79" s="57"/>
      <c r="T79" s="95" t="s">
        <v>1175</v>
      </c>
      <c r="U79" s="96"/>
      <c r="V79" s="97"/>
      <c r="W79" s="98" t="s">
        <v>1176</v>
      </c>
      <c r="AB79" s="69">
        <f>AM19</f>
        <v>1.3605442176870748E-2</v>
      </c>
      <c r="AC79" s="69">
        <f>AM20</f>
        <v>8.8435374149659865E-2</v>
      </c>
      <c r="AD79" s="69">
        <f>AM21</f>
        <v>0.68027210884353739</v>
      </c>
      <c r="AE79" s="69">
        <f>AM22</f>
        <v>0.14285714285714285</v>
      </c>
      <c r="AF79" s="69">
        <f>AM23</f>
        <v>6.1224489795918366E-2</v>
      </c>
      <c r="AG79" s="69">
        <f>AM24</f>
        <v>1.3605442176870748E-2</v>
      </c>
      <c r="AI79">
        <f>AB78*AB79+AC78*AC79+AD78*AD79+AE78*AE79+AF78*AF79+AG78*AG79</f>
        <v>1594912.9251700679</v>
      </c>
      <c r="BA79" t="s">
        <v>639</v>
      </c>
      <c r="BB79" t="s">
        <v>151</v>
      </c>
      <c r="BC79" t="s">
        <v>277</v>
      </c>
      <c r="BD79" t="s">
        <v>132</v>
      </c>
      <c r="BE79" t="s">
        <v>167</v>
      </c>
      <c r="BI79" t="s">
        <v>221</v>
      </c>
      <c r="BJ79" t="s">
        <v>221</v>
      </c>
      <c r="BK79" t="s">
        <v>640</v>
      </c>
      <c r="BL79">
        <v>2</v>
      </c>
      <c r="CA79" t="s">
        <v>281</v>
      </c>
      <c r="CB79" t="s">
        <v>116</v>
      </c>
      <c r="CC79" t="s">
        <v>117</v>
      </c>
      <c r="CD79" t="s">
        <v>138</v>
      </c>
      <c r="CL79">
        <v>2</v>
      </c>
    </row>
    <row r="80" spans="1:90" ht="15">
      <c r="A80" t="s">
        <v>251</v>
      </c>
      <c r="B80" t="s">
        <v>116</v>
      </c>
      <c r="C80" t="s">
        <v>149</v>
      </c>
      <c r="D80" t="s">
        <v>118</v>
      </c>
      <c r="L80">
        <v>1</v>
      </c>
      <c r="S80" s="64" t="s">
        <v>1174</v>
      </c>
      <c r="T80" s="65" t="s">
        <v>1162</v>
      </c>
      <c r="U80" s="66" t="s">
        <v>1166</v>
      </c>
      <c r="V80" s="67" t="s">
        <v>1163</v>
      </c>
      <c r="W80" s="99"/>
      <c r="Y80" s="93" t="s">
        <v>1245</v>
      </c>
      <c r="BA80" t="s">
        <v>699</v>
      </c>
      <c r="BB80" t="s">
        <v>160</v>
      </c>
      <c r="BC80" t="s">
        <v>117</v>
      </c>
      <c r="BD80" t="s">
        <v>118</v>
      </c>
      <c r="BE80" t="s">
        <v>167</v>
      </c>
      <c r="BI80" t="s">
        <v>418</v>
      </c>
      <c r="BJ80" t="s">
        <v>418</v>
      </c>
      <c r="BL80">
        <v>2</v>
      </c>
      <c r="CA80" t="s">
        <v>282</v>
      </c>
      <c r="CB80" t="s">
        <v>116</v>
      </c>
      <c r="CC80" t="s">
        <v>117</v>
      </c>
      <c r="CD80" t="s">
        <v>124</v>
      </c>
      <c r="CL80">
        <v>2</v>
      </c>
    </row>
    <row r="81" spans="1:90">
      <c r="A81" t="s">
        <v>252</v>
      </c>
      <c r="B81" t="s">
        <v>116</v>
      </c>
      <c r="C81" t="s">
        <v>149</v>
      </c>
      <c r="D81" t="s">
        <v>118</v>
      </c>
      <c r="J81" t="s">
        <v>181</v>
      </c>
      <c r="L81">
        <v>1</v>
      </c>
      <c r="S81" s="42">
        <v>9</v>
      </c>
      <c r="T81" s="58">
        <v>221</v>
      </c>
      <c r="U81" s="59">
        <v>31</v>
      </c>
      <c r="V81" s="60">
        <v>70</v>
      </c>
      <c r="W81" s="55">
        <f>SUM(T81:V81)</f>
        <v>322</v>
      </c>
      <c r="BA81" t="s">
        <v>708</v>
      </c>
      <c r="BB81" t="s">
        <v>151</v>
      </c>
      <c r="BC81" t="s">
        <v>277</v>
      </c>
      <c r="BD81" t="s">
        <v>124</v>
      </c>
      <c r="BE81" t="s">
        <v>167</v>
      </c>
      <c r="BF81" t="s">
        <v>163</v>
      </c>
      <c r="BH81" t="s">
        <v>164</v>
      </c>
      <c r="BI81" t="s">
        <v>186</v>
      </c>
      <c r="BJ81" t="s">
        <v>186</v>
      </c>
      <c r="BK81" t="s">
        <v>222</v>
      </c>
      <c r="BL81">
        <v>2</v>
      </c>
      <c r="CA81" t="s">
        <v>283</v>
      </c>
      <c r="CB81" t="s">
        <v>116</v>
      </c>
      <c r="CC81" t="s">
        <v>117</v>
      </c>
      <c r="CD81" t="s">
        <v>118</v>
      </c>
      <c r="CL81">
        <v>2</v>
      </c>
    </row>
    <row r="82" spans="1:90">
      <c r="A82" t="s">
        <v>253</v>
      </c>
      <c r="B82" t="s">
        <v>151</v>
      </c>
      <c r="C82" t="s">
        <v>152</v>
      </c>
      <c r="D82" t="s">
        <v>124</v>
      </c>
      <c r="E82" t="s">
        <v>153</v>
      </c>
      <c r="K82" t="s">
        <v>254</v>
      </c>
      <c r="L82">
        <v>1</v>
      </c>
      <c r="S82" s="42">
        <v>12</v>
      </c>
      <c r="T82" s="58">
        <v>307</v>
      </c>
      <c r="U82" s="59">
        <v>38</v>
      </c>
      <c r="V82" s="60">
        <v>85</v>
      </c>
      <c r="W82" s="55">
        <f t="shared" ref="W82:W86" si="70">SUM(T82:V82)</f>
        <v>430</v>
      </c>
      <c r="BA82" t="s">
        <v>709</v>
      </c>
      <c r="BB82" t="s">
        <v>151</v>
      </c>
      <c r="BC82" t="s">
        <v>152</v>
      </c>
      <c r="BD82" t="s">
        <v>132</v>
      </c>
      <c r="BE82" t="s">
        <v>167</v>
      </c>
      <c r="BI82" t="s">
        <v>186</v>
      </c>
      <c r="BJ82" t="s">
        <v>186</v>
      </c>
      <c r="BK82" t="s">
        <v>710</v>
      </c>
      <c r="BL82">
        <v>2</v>
      </c>
      <c r="CA82" t="s">
        <v>284</v>
      </c>
      <c r="CB82" t="s">
        <v>116</v>
      </c>
      <c r="CC82" t="s">
        <v>117</v>
      </c>
      <c r="CD82" t="s">
        <v>118</v>
      </c>
      <c r="CL82">
        <v>2</v>
      </c>
    </row>
    <row r="83" spans="1:90">
      <c r="A83" t="s">
        <v>255</v>
      </c>
      <c r="B83" t="s">
        <v>151</v>
      </c>
      <c r="C83" t="s">
        <v>149</v>
      </c>
      <c r="D83" t="s">
        <v>124</v>
      </c>
      <c r="E83" t="s">
        <v>153</v>
      </c>
      <c r="J83" t="s">
        <v>181</v>
      </c>
      <c r="K83" t="s">
        <v>256</v>
      </c>
      <c r="L83">
        <v>1</v>
      </c>
      <c r="S83" s="42">
        <v>15</v>
      </c>
      <c r="T83" s="58">
        <v>452</v>
      </c>
      <c r="U83" s="59">
        <v>61</v>
      </c>
      <c r="V83" s="60">
        <v>105</v>
      </c>
      <c r="W83" s="55">
        <f t="shared" si="70"/>
        <v>618</v>
      </c>
      <c r="BA83" t="s">
        <v>717</v>
      </c>
      <c r="BB83" t="s">
        <v>151</v>
      </c>
      <c r="BC83" t="s">
        <v>152</v>
      </c>
      <c r="BD83" t="s">
        <v>124</v>
      </c>
      <c r="BE83" t="s">
        <v>167</v>
      </c>
      <c r="BI83" t="s">
        <v>181</v>
      </c>
      <c r="BJ83" t="s">
        <v>181</v>
      </c>
      <c r="BK83" t="s">
        <v>222</v>
      </c>
      <c r="BL83">
        <v>2</v>
      </c>
      <c r="CA83" t="s">
        <v>285</v>
      </c>
      <c r="CB83" t="s">
        <v>116</v>
      </c>
      <c r="CC83" t="s">
        <v>152</v>
      </c>
      <c r="CD83" t="s">
        <v>118</v>
      </c>
      <c r="CL83">
        <v>2</v>
      </c>
    </row>
    <row r="84" spans="1:90">
      <c r="A84" t="s">
        <v>257</v>
      </c>
      <c r="B84" t="s">
        <v>151</v>
      </c>
      <c r="C84" t="s">
        <v>149</v>
      </c>
      <c r="D84" t="s">
        <v>118</v>
      </c>
      <c r="L84">
        <v>1</v>
      </c>
      <c r="S84" s="42">
        <v>18</v>
      </c>
      <c r="T84" s="58">
        <v>837</v>
      </c>
      <c r="U84" s="59">
        <v>98</v>
      </c>
      <c r="V84" s="60">
        <v>146</v>
      </c>
      <c r="W84" s="55">
        <f t="shared" si="70"/>
        <v>1081</v>
      </c>
      <c r="BA84" t="s">
        <v>719</v>
      </c>
      <c r="BB84" t="s">
        <v>151</v>
      </c>
      <c r="BC84" t="s">
        <v>149</v>
      </c>
      <c r="BD84" t="s">
        <v>118</v>
      </c>
      <c r="BE84" t="s">
        <v>167</v>
      </c>
      <c r="BI84" t="s">
        <v>186</v>
      </c>
      <c r="BJ84" t="s">
        <v>168</v>
      </c>
      <c r="BK84" t="s">
        <v>192</v>
      </c>
      <c r="BL84">
        <v>2</v>
      </c>
      <c r="CA84" t="s">
        <v>286</v>
      </c>
      <c r="CB84" t="s">
        <v>116</v>
      </c>
      <c r="CC84" t="s">
        <v>149</v>
      </c>
      <c r="CD84" t="s">
        <v>118</v>
      </c>
      <c r="CL84">
        <v>2</v>
      </c>
    </row>
    <row r="85" spans="1:90">
      <c r="A85" t="s">
        <v>258</v>
      </c>
      <c r="B85" t="s">
        <v>160</v>
      </c>
      <c r="C85" t="s">
        <v>120</v>
      </c>
      <c r="D85" t="s">
        <v>118</v>
      </c>
      <c r="L85">
        <v>1</v>
      </c>
      <c r="S85" s="42">
        <v>20</v>
      </c>
      <c r="T85" s="58">
        <v>1074</v>
      </c>
      <c r="U85" s="59">
        <v>122</v>
      </c>
      <c r="V85" s="60">
        <v>186</v>
      </c>
      <c r="W85" s="55">
        <f t="shared" si="70"/>
        <v>1382</v>
      </c>
      <c r="BA85" t="s">
        <v>720</v>
      </c>
      <c r="BB85" t="s">
        <v>175</v>
      </c>
      <c r="BC85" t="s">
        <v>152</v>
      </c>
      <c r="BD85" t="s">
        <v>124</v>
      </c>
      <c r="BE85" t="s">
        <v>167</v>
      </c>
      <c r="BF85" t="s">
        <v>163</v>
      </c>
      <c r="BH85" t="s">
        <v>164</v>
      </c>
      <c r="BI85" t="s">
        <v>186</v>
      </c>
      <c r="BJ85" t="s">
        <v>186</v>
      </c>
      <c r="BK85" t="s">
        <v>347</v>
      </c>
      <c r="BL85">
        <v>2</v>
      </c>
      <c r="CA85" t="s">
        <v>287</v>
      </c>
      <c r="CB85" t="s">
        <v>116</v>
      </c>
      <c r="CC85" t="s">
        <v>152</v>
      </c>
      <c r="CD85" t="s">
        <v>118</v>
      </c>
      <c r="CL85">
        <v>2</v>
      </c>
    </row>
    <row r="86" spans="1:90" ht="15" thickBot="1">
      <c r="A86" t="s">
        <v>259</v>
      </c>
      <c r="B86" t="s">
        <v>160</v>
      </c>
      <c r="C86" t="s">
        <v>117</v>
      </c>
      <c r="D86" t="s">
        <v>124</v>
      </c>
      <c r="E86" t="s">
        <v>260</v>
      </c>
      <c r="J86" t="s">
        <v>181</v>
      </c>
      <c r="K86" t="s">
        <v>261</v>
      </c>
      <c r="L86">
        <v>1</v>
      </c>
      <c r="S86" s="68">
        <v>22</v>
      </c>
      <c r="T86" s="61">
        <v>1332</v>
      </c>
      <c r="U86" s="62">
        <v>149</v>
      </c>
      <c r="V86" s="63">
        <v>314</v>
      </c>
      <c r="W86" s="62">
        <f t="shared" si="70"/>
        <v>1795</v>
      </c>
      <c r="BA86" t="s">
        <v>762</v>
      </c>
      <c r="BB86" t="s">
        <v>151</v>
      </c>
      <c r="BC86" t="s">
        <v>152</v>
      </c>
      <c r="BD86" t="s">
        <v>118</v>
      </c>
      <c r="BJ86" t="s">
        <v>168</v>
      </c>
      <c r="BK86" t="s">
        <v>763</v>
      </c>
      <c r="BL86">
        <v>3</v>
      </c>
      <c r="CA86" t="s">
        <v>288</v>
      </c>
      <c r="CB86" t="s">
        <v>116</v>
      </c>
      <c r="CC86" t="s">
        <v>152</v>
      </c>
      <c r="CD86" t="s">
        <v>118</v>
      </c>
      <c r="CL86">
        <v>2</v>
      </c>
    </row>
    <row r="87" spans="1:90">
      <c r="A87" t="s">
        <v>262</v>
      </c>
      <c r="B87" t="s">
        <v>162</v>
      </c>
      <c r="C87" t="s">
        <v>152</v>
      </c>
      <c r="D87" t="s">
        <v>118</v>
      </c>
      <c r="L87">
        <v>1</v>
      </c>
      <c r="S87" t="s">
        <v>1168</v>
      </c>
      <c r="BA87" t="s">
        <v>764</v>
      </c>
      <c r="BB87" t="s">
        <v>151</v>
      </c>
      <c r="BC87" t="s">
        <v>152</v>
      </c>
      <c r="BD87" t="s">
        <v>118</v>
      </c>
      <c r="BE87" t="s">
        <v>167</v>
      </c>
      <c r="BI87" t="s">
        <v>168</v>
      </c>
      <c r="BJ87" t="s">
        <v>168</v>
      </c>
      <c r="BK87" t="s">
        <v>765</v>
      </c>
      <c r="BL87">
        <v>3</v>
      </c>
      <c r="CA87" t="s">
        <v>289</v>
      </c>
      <c r="CB87" t="s">
        <v>116</v>
      </c>
      <c r="CC87" t="s">
        <v>152</v>
      </c>
      <c r="CD87" t="s">
        <v>118</v>
      </c>
      <c r="CL87">
        <v>2</v>
      </c>
    </row>
    <row r="88" spans="1:90">
      <c r="A88" t="s">
        <v>263</v>
      </c>
      <c r="B88" t="s">
        <v>162</v>
      </c>
      <c r="C88" t="s">
        <v>152</v>
      </c>
      <c r="D88" t="s">
        <v>118</v>
      </c>
      <c r="L88">
        <v>1</v>
      </c>
      <c r="BA88" t="s">
        <v>768</v>
      </c>
      <c r="BB88" t="s">
        <v>151</v>
      </c>
      <c r="BC88" t="s">
        <v>152</v>
      </c>
      <c r="BD88" t="s">
        <v>124</v>
      </c>
      <c r="BE88" t="s">
        <v>167</v>
      </c>
      <c r="BF88" t="s">
        <v>163</v>
      </c>
      <c r="BH88" t="s">
        <v>164</v>
      </c>
      <c r="BI88" t="s">
        <v>168</v>
      </c>
      <c r="BJ88" t="s">
        <v>168</v>
      </c>
      <c r="BK88" t="s">
        <v>769</v>
      </c>
      <c r="BL88">
        <v>3</v>
      </c>
      <c r="CA88" t="s">
        <v>290</v>
      </c>
      <c r="CB88" t="s">
        <v>116</v>
      </c>
      <c r="CC88" t="s">
        <v>152</v>
      </c>
      <c r="CD88" t="s">
        <v>118</v>
      </c>
      <c r="CL88">
        <v>2</v>
      </c>
    </row>
    <row r="89" spans="1:90">
      <c r="A89" t="s">
        <v>264</v>
      </c>
      <c r="B89" t="s">
        <v>162</v>
      </c>
      <c r="C89" t="s">
        <v>149</v>
      </c>
      <c r="D89" t="s">
        <v>118</v>
      </c>
      <c r="L89">
        <v>1</v>
      </c>
      <c r="BA89" t="s">
        <v>793</v>
      </c>
      <c r="BB89" t="s">
        <v>151</v>
      </c>
      <c r="BC89" t="s">
        <v>149</v>
      </c>
      <c r="BD89" t="s">
        <v>124</v>
      </c>
      <c r="BE89" t="s">
        <v>167</v>
      </c>
      <c r="BI89" t="s">
        <v>221</v>
      </c>
      <c r="BJ89" t="s">
        <v>168</v>
      </c>
      <c r="BK89" t="s">
        <v>200</v>
      </c>
      <c r="BL89">
        <v>3</v>
      </c>
      <c r="CA89" t="s">
        <v>291</v>
      </c>
      <c r="CB89" t="s">
        <v>116</v>
      </c>
      <c r="CC89" t="s">
        <v>152</v>
      </c>
      <c r="CD89" t="s">
        <v>118</v>
      </c>
      <c r="CL89">
        <v>2</v>
      </c>
    </row>
    <row r="90" spans="1:90">
      <c r="A90" t="s">
        <v>265</v>
      </c>
      <c r="B90" t="s">
        <v>162</v>
      </c>
      <c r="C90" t="s">
        <v>152</v>
      </c>
      <c r="D90" t="s">
        <v>118</v>
      </c>
      <c r="L90">
        <v>1</v>
      </c>
      <c r="AA90" t="s">
        <v>1260</v>
      </c>
      <c r="BA90" t="s">
        <v>799</v>
      </c>
      <c r="BB90" t="s">
        <v>151</v>
      </c>
      <c r="BC90" t="s">
        <v>149</v>
      </c>
      <c r="BD90" t="s">
        <v>124</v>
      </c>
      <c r="BE90" t="s">
        <v>167</v>
      </c>
      <c r="BI90" t="s">
        <v>168</v>
      </c>
      <c r="BJ90" t="s">
        <v>168</v>
      </c>
      <c r="BK90" t="s">
        <v>800</v>
      </c>
      <c r="BL90">
        <v>3</v>
      </c>
      <c r="CA90" t="s">
        <v>292</v>
      </c>
      <c r="CB90" t="s">
        <v>116</v>
      </c>
      <c r="CC90" t="s">
        <v>149</v>
      </c>
      <c r="CD90" t="s">
        <v>118</v>
      </c>
      <c r="CL90">
        <v>2</v>
      </c>
    </row>
    <row r="91" spans="1:90">
      <c r="A91" t="s">
        <v>266</v>
      </c>
      <c r="B91" t="s">
        <v>151</v>
      </c>
      <c r="C91" t="s">
        <v>149</v>
      </c>
      <c r="D91" t="s">
        <v>124</v>
      </c>
      <c r="E91" t="s">
        <v>153</v>
      </c>
      <c r="I91" t="s">
        <v>189</v>
      </c>
      <c r="J91" t="s">
        <v>189</v>
      </c>
      <c r="K91" t="s">
        <v>187</v>
      </c>
      <c r="L91">
        <v>1</v>
      </c>
      <c r="Z91" t="s">
        <v>1257</v>
      </c>
      <c r="AA91">
        <v>36</v>
      </c>
      <c r="AB91">
        <v>24</v>
      </c>
      <c r="AC91">
        <v>18</v>
      </c>
      <c r="AD91">
        <v>12</v>
      </c>
      <c r="AE91">
        <v>6</v>
      </c>
      <c r="AF91">
        <v>6</v>
      </c>
      <c r="BA91" t="s">
        <v>804</v>
      </c>
      <c r="BB91" t="s">
        <v>151</v>
      </c>
      <c r="BC91" t="s">
        <v>152</v>
      </c>
      <c r="BD91" t="s">
        <v>143</v>
      </c>
      <c r="BE91" t="s">
        <v>167</v>
      </c>
      <c r="BF91" t="s">
        <v>370</v>
      </c>
      <c r="BG91" t="s">
        <v>519</v>
      </c>
      <c r="BH91" t="s">
        <v>164</v>
      </c>
      <c r="BI91" t="s">
        <v>186</v>
      </c>
      <c r="BJ91" t="s">
        <v>186</v>
      </c>
      <c r="BK91" t="s">
        <v>805</v>
      </c>
      <c r="BL91">
        <v>3</v>
      </c>
      <c r="CA91" t="s">
        <v>293</v>
      </c>
      <c r="CB91" t="s">
        <v>116</v>
      </c>
      <c r="CC91" t="s">
        <v>152</v>
      </c>
      <c r="CD91" t="s">
        <v>118</v>
      </c>
      <c r="CL91">
        <v>2</v>
      </c>
    </row>
    <row r="92" spans="1:90">
      <c r="A92" t="s">
        <v>267</v>
      </c>
      <c r="B92" t="s">
        <v>151</v>
      </c>
      <c r="C92" t="s">
        <v>149</v>
      </c>
      <c r="D92" t="s">
        <v>124</v>
      </c>
      <c r="E92" t="s">
        <v>167</v>
      </c>
      <c r="I92" t="s">
        <v>156</v>
      </c>
      <c r="J92" t="s">
        <v>156</v>
      </c>
      <c r="K92" t="s">
        <v>268</v>
      </c>
      <c r="L92">
        <v>1</v>
      </c>
      <c r="Z92" t="s">
        <v>1258</v>
      </c>
      <c r="AA92">
        <v>36</v>
      </c>
      <c r="AB92">
        <v>24</v>
      </c>
      <c r="AC92">
        <v>18</v>
      </c>
      <c r="AD92">
        <v>12</v>
      </c>
      <c r="AE92">
        <v>6</v>
      </c>
      <c r="AF92">
        <v>6</v>
      </c>
      <c r="BA92" t="s">
        <v>839</v>
      </c>
      <c r="BB92" t="s">
        <v>151</v>
      </c>
      <c r="BC92" t="s">
        <v>152</v>
      </c>
      <c r="BD92" t="s">
        <v>118</v>
      </c>
      <c r="BE92" t="s">
        <v>167</v>
      </c>
      <c r="BF92" t="s">
        <v>163</v>
      </c>
      <c r="BH92" t="s">
        <v>164</v>
      </c>
      <c r="BJ92" t="s">
        <v>221</v>
      </c>
      <c r="BK92" t="s">
        <v>840</v>
      </c>
      <c r="BL92">
        <v>3</v>
      </c>
      <c r="CA92" t="s">
        <v>297</v>
      </c>
      <c r="CB92" t="s">
        <v>151</v>
      </c>
      <c r="CC92" t="s">
        <v>152</v>
      </c>
      <c r="CD92" t="s">
        <v>118</v>
      </c>
      <c r="CL92">
        <v>2</v>
      </c>
    </row>
    <row r="93" spans="1:90" ht="15.75" thickBot="1">
      <c r="A93" t="s">
        <v>269</v>
      </c>
      <c r="B93" t="s">
        <v>151</v>
      </c>
      <c r="C93" t="s">
        <v>149</v>
      </c>
      <c r="D93" t="s">
        <v>124</v>
      </c>
      <c r="E93" t="s">
        <v>153</v>
      </c>
      <c r="I93" t="s">
        <v>181</v>
      </c>
      <c r="J93" t="s">
        <v>181</v>
      </c>
      <c r="K93" t="s">
        <v>270</v>
      </c>
      <c r="L93">
        <v>1</v>
      </c>
      <c r="S93" s="101" t="s">
        <v>1188</v>
      </c>
      <c r="T93" s="101"/>
      <c r="U93" s="101"/>
      <c r="V93" s="101"/>
      <c r="W93" s="101"/>
      <c r="Z93" t="s">
        <v>1259</v>
      </c>
      <c r="AA93">
        <v>36</v>
      </c>
      <c r="AB93">
        <v>24</v>
      </c>
      <c r="AC93">
        <v>18</v>
      </c>
      <c r="AD93">
        <v>12</v>
      </c>
      <c r="AE93">
        <v>6</v>
      </c>
      <c r="AF93">
        <v>6</v>
      </c>
      <c r="BA93" t="s">
        <v>849</v>
      </c>
      <c r="BB93" t="s">
        <v>175</v>
      </c>
      <c r="BC93" t="s">
        <v>277</v>
      </c>
      <c r="BD93" t="s">
        <v>132</v>
      </c>
      <c r="BE93" t="s">
        <v>167</v>
      </c>
      <c r="BI93" t="s">
        <v>186</v>
      </c>
      <c r="BJ93" t="s">
        <v>186</v>
      </c>
      <c r="BK93" t="s">
        <v>850</v>
      </c>
      <c r="BL93">
        <v>3</v>
      </c>
      <c r="CA93" t="s">
        <v>298</v>
      </c>
      <c r="CB93" t="s">
        <v>151</v>
      </c>
      <c r="CC93" t="s">
        <v>152</v>
      </c>
      <c r="CD93" t="s">
        <v>118</v>
      </c>
      <c r="CL93">
        <v>2</v>
      </c>
    </row>
    <row r="94" spans="1:90" ht="60">
      <c r="A94" t="s">
        <v>271</v>
      </c>
      <c r="B94" t="s">
        <v>151</v>
      </c>
      <c r="C94" t="s">
        <v>152</v>
      </c>
      <c r="D94" t="s">
        <v>132</v>
      </c>
      <c r="L94">
        <v>1</v>
      </c>
      <c r="S94" s="38" t="s">
        <v>133</v>
      </c>
      <c r="T94" s="27" t="s">
        <v>1169</v>
      </c>
      <c r="U94" s="27" t="s">
        <v>1170</v>
      </c>
      <c r="V94" s="27" t="s">
        <v>1171</v>
      </c>
      <c r="W94" s="27" t="s">
        <v>1200</v>
      </c>
      <c r="AA94" s="100" t="s">
        <v>1254</v>
      </c>
      <c r="AB94" s="100" t="s">
        <v>1253</v>
      </c>
      <c r="AC94" s="100" t="s">
        <v>1197</v>
      </c>
      <c r="AD94" s="100" t="s">
        <v>1196</v>
      </c>
      <c r="AE94" s="100" t="s">
        <v>1195</v>
      </c>
      <c r="AF94" s="100" t="s">
        <v>1199</v>
      </c>
      <c r="BA94" s="33" t="s">
        <v>853</v>
      </c>
      <c r="BB94" s="33" t="s">
        <v>172</v>
      </c>
      <c r="BC94" s="33" t="s">
        <v>149</v>
      </c>
      <c r="BD94" s="33" t="s">
        <v>132</v>
      </c>
      <c r="BE94" s="33" t="s">
        <v>167</v>
      </c>
      <c r="BF94" s="33" t="s">
        <v>370</v>
      </c>
      <c r="BG94" s="33"/>
      <c r="BH94" s="33" t="s">
        <v>164</v>
      </c>
      <c r="BI94" t="s">
        <v>168</v>
      </c>
      <c r="BJ94" t="s">
        <v>168</v>
      </c>
      <c r="BK94" t="s">
        <v>854</v>
      </c>
      <c r="BL94">
        <v>3</v>
      </c>
      <c r="CA94" t="s">
        <v>301</v>
      </c>
      <c r="CB94" t="s">
        <v>151</v>
      </c>
      <c r="CC94" t="s">
        <v>149</v>
      </c>
      <c r="CD94" t="s">
        <v>118</v>
      </c>
      <c r="CK94" t="s">
        <v>302</v>
      </c>
      <c r="CL94">
        <v>2</v>
      </c>
    </row>
    <row r="95" spans="1:90">
      <c r="A95" t="s">
        <v>272</v>
      </c>
      <c r="B95" t="s">
        <v>175</v>
      </c>
      <c r="C95" t="s">
        <v>152</v>
      </c>
      <c r="D95" t="s">
        <v>124</v>
      </c>
      <c r="F95" t="s">
        <v>163</v>
      </c>
      <c r="G95" t="s">
        <v>273</v>
      </c>
      <c r="H95" t="s">
        <v>164</v>
      </c>
      <c r="L95">
        <v>1</v>
      </c>
      <c r="S95" s="35" t="s">
        <v>138</v>
      </c>
      <c r="T95" s="29">
        <f t="shared" ref="T95:T100" si="71">Z28</f>
        <v>1.7195767195767195E-2</v>
      </c>
      <c r="U95" s="81">
        <f t="shared" ref="U95:U100" si="72">ABS(T95*$U$101)</f>
        <v>51.587301587301582</v>
      </c>
      <c r="V95" s="55">
        <f>W81</f>
        <v>322</v>
      </c>
      <c r="W95" s="103">
        <f>U95*V95</f>
        <v>16611.111111111109</v>
      </c>
      <c r="Z95" t="s">
        <v>1257</v>
      </c>
      <c r="AA95" s="105">
        <f t="shared" ref="AA95:AF95" si="73">$W$101/(AA91/12)</f>
        <v>551137.56613756611</v>
      </c>
      <c r="AB95" s="105">
        <f t="shared" si="73"/>
        <v>826706.34920634923</v>
      </c>
      <c r="AC95" s="105">
        <f t="shared" si="73"/>
        <v>1102275.1322751322</v>
      </c>
      <c r="AD95" s="105">
        <f t="shared" si="73"/>
        <v>1653412.6984126985</v>
      </c>
      <c r="AE95" s="105">
        <f t="shared" si="73"/>
        <v>3306825.3968253969</v>
      </c>
      <c r="AF95" s="105">
        <f t="shared" si="73"/>
        <v>3306825.3968253969</v>
      </c>
      <c r="BA95" t="s">
        <v>878</v>
      </c>
      <c r="BB95" t="s">
        <v>116</v>
      </c>
      <c r="BC95" t="s">
        <v>149</v>
      </c>
      <c r="BD95" t="s">
        <v>118</v>
      </c>
      <c r="BF95" t="s">
        <v>370</v>
      </c>
      <c r="BH95" t="s">
        <v>164</v>
      </c>
      <c r="BJ95" t="s">
        <v>189</v>
      </c>
      <c r="BK95" t="s">
        <v>879</v>
      </c>
      <c r="BL95">
        <v>3</v>
      </c>
      <c r="CA95" t="s">
        <v>303</v>
      </c>
      <c r="CB95" t="s">
        <v>151</v>
      </c>
      <c r="CC95" t="s">
        <v>152</v>
      </c>
      <c r="CD95" t="s">
        <v>118</v>
      </c>
      <c r="CL95">
        <v>2</v>
      </c>
    </row>
    <row r="96" spans="1:90">
      <c r="A96" s="33" t="s">
        <v>274</v>
      </c>
      <c r="B96" s="33" t="s">
        <v>172</v>
      </c>
      <c r="C96" s="33" t="s">
        <v>149</v>
      </c>
      <c r="D96" s="33" t="s">
        <v>124</v>
      </c>
      <c r="E96" s="33"/>
      <c r="F96" s="33"/>
      <c r="G96" s="33"/>
      <c r="H96" s="33"/>
      <c r="L96">
        <v>1</v>
      </c>
      <c r="S96" s="35" t="s">
        <v>118</v>
      </c>
      <c r="T96" s="29">
        <f t="shared" si="71"/>
        <v>0.52645502645502651</v>
      </c>
      <c r="U96" s="55">
        <f t="shared" si="72"/>
        <v>1579.3650793650795</v>
      </c>
      <c r="V96" s="55">
        <f t="shared" ref="V96:V100" si="74">W82</f>
        <v>430</v>
      </c>
      <c r="W96" s="103">
        <f t="shared" ref="W96:W99" si="75">U96*V96</f>
        <v>679126.98412698414</v>
      </c>
      <c r="Z96" t="s">
        <v>1258</v>
      </c>
      <c r="AA96" s="105">
        <f t="shared" ref="AA96:AF96" si="76">$W$104/(AA92/12)</f>
        <v>500000</v>
      </c>
      <c r="AB96" s="105">
        <f t="shared" si="76"/>
        <v>750000</v>
      </c>
      <c r="AC96" s="105">
        <f t="shared" si="76"/>
        <v>1000000</v>
      </c>
      <c r="AD96" s="105">
        <f t="shared" si="76"/>
        <v>1500000</v>
      </c>
      <c r="AE96" s="105">
        <f t="shared" si="76"/>
        <v>3000000</v>
      </c>
      <c r="AF96" s="105">
        <f t="shared" si="76"/>
        <v>3000000</v>
      </c>
      <c r="BA96" t="s">
        <v>880</v>
      </c>
      <c r="BB96" t="s">
        <v>151</v>
      </c>
      <c r="BC96" t="s">
        <v>152</v>
      </c>
      <c r="BD96" t="s">
        <v>124</v>
      </c>
      <c r="BE96" t="s">
        <v>167</v>
      </c>
      <c r="BJ96" t="s">
        <v>221</v>
      </c>
      <c r="BK96" t="s">
        <v>222</v>
      </c>
      <c r="BL96">
        <v>3</v>
      </c>
      <c r="CA96" t="s">
        <v>305</v>
      </c>
      <c r="CB96" t="s">
        <v>151</v>
      </c>
      <c r="CC96" t="s">
        <v>152</v>
      </c>
      <c r="CD96" t="s">
        <v>132</v>
      </c>
      <c r="CE96" t="s">
        <v>167</v>
      </c>
      <c r="CI96" t="s">
        <v>168</v>
      </c>
      <c r="CJ96" t="s">
        <v>156</v>
      </c>
      <c r="CK96" t="s">
        <v>306</v>
      </c>
      <c r="CL96">
        <v>2</v>
      </c>
    </row>
    <row r="97" spans="1:90">
      <c r="A97" s="33" t="s">
        <v>275</v>
      </c>
      <c r="B97" s="33" t="s">
        <v>172</v>
      </c>
      <c r="C97" s="33" t="s">
        <v>152</v>
      </c>
      <c r="D97" s="33" t="s">
        <v>132</v>
      </c>
      <c r="E97" s="33"/>
      <c r="F97" s="33"/>
      <c r="G97" s="33"/>
      <c r="H97" s="33"/>
      <c r="L97">
        <v>1</v>
      </c>
      <c r="S97" s="35" t="s">
        <v>124</v>
      </c>
      <c r="T97" s="29">
        <f t="shared" si="71"/>
        <v>0.38492063492063494</v>
      </c>
      <c r="U97" s="55">
        <f t="shared" si="72"/>
        <v>1154.7619047619048</v>
      </c>
      <c r="V97" s="55">
        <f t="shared" si="74"/>
        <v>618</v>
      </c>
      <c r="W97" s="103">
        <f t="shared" si="75"/>
        <v>713642.85714285716</v>
      </c>
      <c r="Z97" t="s">
        <v>1259</v>
      </c>
      <c r="AA97" s="105">
        <f t="shared" ref="AA97:AF97" si="77">$W$106/(AA93/12)</f>
        <v>33333.333333333336</v>
      </c>
      <c r="AB97" s="105">
        <f t="shared" si="77"/>
        <v>50000</v>
      </c>
      <c r="AC97" s="105">
        <f t="shared" si="77"/>
        <v>66666.666666666672</v>
      </c>
      <c r="AD97" s="105">
        <f t="shared" si="77"/>
        <v>100000</v>
      </c>
      <c r="AE97" s="105">
        <f t="shared" si="77"/>
        <v>200000</v>
      </c>
      <c r="AF97" s="105">
        <f t="shared" si="77"/>
        <v>200000</v>
      </c>
      <c r="BA97" t="s">
        <v>881</v>
      </c>
      <c r="BB97" t="s">
        <v>151</v>
      </c>
      <c r="BC97" t="s">
        <v>149</v>
      </c>
      <c r="BD97" t="s">
        <v>124</v>
      </c>
      <c r="BE97" t="s">
        <v>167</v>
      </c>
      <c r="BF97" t="s">
        <v>163</v>
      </c>
      <c r="BH97" t="s">
        <v>164</v>
      </c>
      <c r="BJ97" t="s">
        <v>168</v>
      </c>
      <c r="BK97" t="s">
        <v>882</v>
      </c>
      <c r="BL97">
        <v>3</v>
      </c>
      <c r="CA97" t="s">
        <v>311</v>
      </c>
      <c r="CB97" t="s">
        <v>151</v>
      </c>
      <c r="CC97" t="s">
        <v>152</v>
      </c>
      <c r="CD97" t="s">
        <v>118</v>
      </c>
      <c r="CL97">
        <v>2</v>
      </c>
    </row>
    <row r="98" spans="1:90">
      <c r="A98" s="33" t="s">
        <v>276</v>
      </c>
      <c r="B98" s="33" t="s">
        <v>172</v>
      </c>
      <c r="C98" s="33" t="s">
        <v>277</v>
      </c>
      <c r="D98" s="33" t="s">
        <v>124</v>
      </c>
      <c r="E98" s="33"/>
      <c r="F98" s="33"/>
      <c r="G98" s="33"/>
      <c r="H98" s="33"/>
      <c r="L98">
        <v>1</v>
      </c>
      <c r="S98" s="35" t="s">
        <v>132</v>
      </c>
      <c r="T98" s="29">
        <f t="shared" si="71"/>
        <v>5.9523809523809521E-2</v>
      </c>
      <c r="U98" s="55">
        <f t="shared" si="72"/>
        <v>178.57142857142856</v>
      </c>
      <c r="V98" s="55">
        <f t="shared" si="74"/>
        <v>1081</v>
      </c>
      <c r="W98" s="103">
        <f t="shared" si="75"/>
        <v>193035.71428571426</v>
      </c>
      <c r="AA98" s="107">
        <f>SUM(AA95:AA97)</f>
        <v>1084470.8994708995</v>
      </c>
      <c r="AB98" s="107">
        <f t="shared" ref="AB98:AF98" si="78">SUM(AB95:AB97)</f>
        <v>1626706.3492063493</v>
      </c>
      <c r="AC98" s="107">
        <f t="shared" si="78"/>
        <v>2168941.798941799</v>
      </c>
      <c r="AD98" s="107">
        <f t="shared" si="78"/>
        <v>3253412.6984126987</v>
      </c>
      <c r="AE98" s="107">
        <f t="shared" si="78"/>
        <v>6506825.3968253974</v>
      </c>
      <c r="AF98" s="107">
        <f t="shared" si="78"/>
        <v>6506825.3968253974</v>
      </c>
      <c r="BA98" t="s">
        <v>895</v>
      </c>
      <c r="BB98" t="s">
        <v>175</v>
      </c>
      <c r="BC98" t="s">
        <v>152</v>
      </c>
      <c r="BD98" t="s">
        <v>124</v>
      </c>
      <c r="BE98" t="s">
        <v>167</v>
      </c>
      <c r="BI98" t="s">
        <v>186</v>
      </c>
      <c r="BJ98" t="s">
        <v>186</v>
      </c>
      <c r="BK98" t="s">
        <v>896</v>
      </c>
      <c r="BL98">
        <v>3</v>
      </c>
      <c r="CA98" t="s">
        <v>312</v>
      </c>
      <c r="CB98" t="s">
        <v>151</v>
      </c>
      <c r="CC98" t="s">
        <v>152</v>
      </c>
      <c r="CD98" t="s">
        <v>118</v>
      </c>
      <c r="CJ98">
        <v>42354</v>
      </c>
      <c r="CL98">
        <v>2</v>
      </c>
    </row>
    <row r="99" spans="1:90">
      <c r="A99" t="s">
        <v>278</v>
      </c>
      <c r="B99" t="s">
        <v>279</v>
      </c>
      <c r="C99" t="s">
        <v>152</v>
      </c>
      <c r="D99" t="s">
        <v>124</v>
      </c>
      <c r="L99">
        <v>1</v>
      </c>
      <c r="S99" s="35" t="s">
        <v>143</v>
      </c>
      <c r="T99" s="29">
        <f t="shared" si="71"/>
        <v>1.0582010582010581E-2</v>
      </c>
      <c r="U99" s="55">
        <f t="shared" si="72"/>
        <v>31.746031746031743</v>
      </c>
      <c r="V99" s="55">
        <f t="shared" si="74"/>
        <v>1382</v>
      </c>
      <c r="W99" s="103">
        <f t="shared" si="75"/>
        <v>43873.015873015873</v>
      </c>
      <c r="AA99" s="107"/>
      <c r="AB99" s="107"/>
      <c r="AC99" s="107"/>
      <c r="AD99" s="107"/>
      <c r="AE99" s="107"/>
      <c r="AF99" s="107"/>
      <c r="BA99" t="s">
        <v>909</v>
      </c>
      <c r="BB99" t="s">
        <v>151</v>
      </c>
      <c r="BC99" t="s">
        <v>149</v>
      </c>
      <c r="BD99" t="s">
        <v>124</v>
      </c>
      <c r="BF99" t="s">
        <v>163</v>
      </c>
      <c r="BH99" t="s">
        <v>164</v>
      </c>
      <c r="BJ99" t="s">
        <v>221</v>
      </c>
      <c r="BK99" t="s">
        <v>910</v>
      </c>
      <c r="BL99">
        <v>4</v>
      </c>
      <c r="CA99" t="s">
        <v>126</v>
      </c>
      <c r="CB99" t="s">
        <v>151</v>
      </c>
      <c r="CC99" t="s">
        <v>152</v>
      </c>
      <c r="CD99" t="s">
        <v>124</v>
      </c>
      <c r="CL99">
        <v>2</v>
      </c>
    </row>
    <row r="100" spans="1:90">
      <c r="A100" t="s">
        <v>280</v>
      </c>
      <c r="B100" t="s">
        <v>279</v>
      </c>
      <c r="C100" t="s">
        <v>149</v>
      </c>
      <c r="D100" t="s">
        <v>124</v>
      </c>
      <c r="L100">
        <v>1</v>
      </c>
      <c r="S100" s="39" t="s">
        <v>145</v>
      </c>
      <c r="T100" s="29">
        <f t="shared" si="71"/>
        <v>1.3227513227513227E-3</v>
      </c>
      <c r="U100" s="55">
        <f t="shared" si="72"/>
        <v>3.9682539682539679</v>
      </c>
      <c r="V100" s="55">
        <f t="shared" si="74"/>
        <v>1795</v>
      </c>
      <c r="W100" s="103">
        <f>ABS(U100*V100)</f>
        <v>7123.0158730158728</v>
      </c>
      <c r="AA100" s="108">
        <v>0.1532</v>
      </c>
      <c r="AB100" s="108">
        <v>9.9860000000000004E-2</v>
      </c>
      <c r="AC100" s="108">
        <v>0.16550000000000001</v>
      </c>
      <c r="AD100" s="108">
        <v>0.47058800000000001</v>
      </c>
      <c r="AE100" s="108">
        <v>7.1135000000000004E-2</v>
      </c>
      <c r="AF100" s="108">
        <v>3.9669999999999997E-2</v>
      </c>
      <c r="BA100" t="s">
        <v>925</v>
      </c>
      <c r="BB100" t="s">
        <v>175</v>
      </c>
      <c r="BC100" t="s">
        <v>149</v>
      </c>
      <c r="BD100" t="s">
        <v>124</v>
      </c>
      <c r="BE100" t="s">
        <v>167</v>
      </c>
      <c r="BI100" t="s">
        <v>189</v>
      </c>
      <c r="BJ100" t="s">
        <v>189</v>
      </c>
      <c r="BK100" t="s">
        <v>347</v>
      </c>
      <c r="BL100">
        <v>4</v>
      </c>
      <c r="CA100" t="s">
        <v>313</v>
      </c>
      <c r="CB100" t="s">
        <v>151</v>
      </c>
      <c r="CC100" t="s">
        <v>152</v>
      </c>
      <c r="CD100" t="s">
        <v>118</v>
      </c>
      <c r="CL100">
        <v>2</v>
      </c>
    </row>
    <row r="101" spans="1:90" ht="15" thickBot="1">
      <c r="A101" t="s">
        <v>281</v>
      </c>
      <c r="B101" t="s">
        <v>116</v>
      </c>
      <c r="C101" t="s">
        <v>117</v>
      </c>
      <c r="D101" t="s">
        <v>138</v>
      </c>
      <c r="L101">
        <v>2</v>
      </c>
      <c r="S101" s="40" t="s">
        <v>1158</v>
      </c>
      <c r="T101" s="31">
        <f>SUM(T95:T100)</f>
        <v>1</v>
      </c>
      <c r="U101" s="56">
        <f>'Summary '!A31</f>
        <v>3000</v>
      </c>
      <c r="V101" s="56"/>
      <c r="W101" s="104">
        <f>SUM(W95:W100)</f>
        <v>1653412.6984126985</v>
      </c>
      <c r="AA101" s="107"/>
      <c r="AB101" s="107"/>
      <c r="AC101" s="107"/>
      <c r="AD101" s="107"/>
      <c r="AE101" s="107"/>
      <c r="AF101" s="107"/>
      <c r="BA101" t="s">
        <v>934</v>
      </c>
      <c r="BB101" t="s">
        <v>116</v>
      </c>
      <c r="BC101" t="s">
        <v>152</v>
      </c>
      <c r="BD101" t="s">
        <v>118</v>
      </c>
      <c r="BJ101" t="s">
        <v>221</v>
      </c>
      <c r="BL101">
        <v>4</v>
      </c>
      <c r="CA101" t="s">
        <v>314</v>
      </c>
      <c r="CB101" t="s">
        <v>151</v>
      </c>
      <c r="CC101" t="s">
        <v>152</v>
      </c>
      <c r="CD101" t="s">
        <v>132</v>
      </c>
      <c r="CL101">
        <v>2</v>
      </c>
    </row>
    <row r="102" spans="1:90">
      <c r="A102" t="s">
        <v>282</v>
      </c>
      <c r="B102" t="s">
        <v>116</v>
      </c>
      <c r="C102" t="s">
        <v>117</v>
      </c>
      <c r="D102" t="s">
        <v>124</v>
      </c>
      <c r="L102">
        <v>2</v>
      </c>
      <c r="Z102" t="s">
        <v>1254</v>
      </c>
      <c r="AA102" s="107"/>
      <c r="AB102" s="107">
        <f>(AA100*AB98)-(AA100*AA98)</f>
        <v>83070.470899470907</v>
      </c>
      <c r="AC102" s="107">
        <f>(AA100*AC98)-(AA100*AA98)</f>
        <v>166140.94179894181</v>
      </c>
      <c r="AD102" s="107">
        <f>(AA100*AD98)-(AA100*AA98)</f>
        <v>332281.88359788363</v>
      </c>
      <c r="AE102" s="107">
        <f>(AA100*AE98)-(AA100*AA98)</f>
        <v>830704.70899470907</v>
      </c>
      <c r="AF102" s="107">
        <f>(AA100*AF98)-(AA100*AA98)</f>
        <v>830704.70899470907</v>
      </c>
      <c r="BA102" t="s">
        <v>937</v>
      </c>
      <c r="BB102" t="s">
        <v>151</v>
      </c>
      <c r="BC102" t="s">
        <v>152</v>
      </c>
      <c r="BD102" t="s">
        <v>118</v>
      </c>
      <c r="BE102" t="s">
        <v>167</v>
      </c>
      <c r="BF102" t="s">
        <v>163</v>
      </c>
      <c r="BH102" t="s">
        <v>164</v>
      </c>
      <c r="BI102" t="s">
        <v>168</v>
      </c>
      <c r="BJ102" t="s">
        <v>168</v>
      </c>
      <c r="BK102" t="s">
        <v>938</v>
      </c>
      <c r="BL102">
        <v>4</v>
      </c>
      <c r="CA102" t="s">
        <v>315</v>
      </c>
      <c r="CB102" t="s">
        <v>151</v>
      </c>
      <c r="CC102" t="s">
        <v>152</v>
      </c>
      <c r="CD102" t="s">
        <v>124</v>
      </c>
      <c r="CL102">
        <v>2</v>
      </c>
    </row>
    <row r="103" spans="1:90">
      <c r="A103" t="s">
        <v>283</v>
      </c>
      <c r="B103" t="s">
        <v>116</v>
      </c>
      <c r="C103" t="s">
        <v>117</v>
      </c>
      <c r="D103" t="s">
        <v>118</v>
      </c>
      <c r="L103">
        <v>2</v>
      </c>
      <c r="Z103" t="s">
        <v>1253</v>
      </c>
      <c r="AA103" s="107"/>
      <c r="AB103" s="107"/>
      <c r="AC103" s="107">
        <f>(AB100*AC98)-(AB100*AB98)</f>
        <v>54147.63201058199</v>
      </c>
      <c r="AD103" s="107">
        <f>(AB100*AD98)-(AB100*AB98)</f>
        <v>162442.89603174606</v>
      </c>
      <c r="AE103" s="107">
        <f>(AB100*AE98)-(AB100*AB98)</f>
        <v>487328.68809523818</v>
      </c>
      <c r="AF103" s="107">
        <f>(AB100*AF98)-(AB100*AB98)</f>
        <v>487328.68809523818</v>
      </c>
      <c r="BA103" t="s">
        <v>949</v>
      </c>
      <c r="BB103" t="s">
        <v>151</v>
      </c>
      <c r="BC103" t="s">
        <v>149</v>
      </c>
      <c r="BD103" t="s">
        <v>118</v>
      </c>
      <c r="BE103" t="s">
        <v>167</v>
      </c>
      <c r="BI103" t="s">
        <v>156</v>
      </c>
      <c r="BJ103" t="s">
        <v>156</v>
      </c>
      <c r="BK103" t="s">
        <v>192</v>
      </c>
      <c r="BL103">
        <v>4</v>
      </c>
      <c r="CA103" t="s">
        <v>316</v>
      </c>
      <c r="CB103" t="s">
        <v>151</v>
      </c>
      <c r="CC103" t="s">
        <v>149</v>
      </c>
      <c r="CD103" t="s">
        <v>124</v>
      </c>
      <c r="CI103" t="s">
        <v>189</v>
      </c>
      <c r="CJ103" t="s">
        <v>189</v>
      </c>
      <c r="CL103">
        <v>2</v>
      </c>
    </row>
    <row r="104" spans="1:90">
      <c r="A104" t="s">
        <v>284</v>
      </c>
      <c r="B104" t="s">
        <v>116</v>
      </c>
      <c r="C104" t="s">
        <v>117</v>
      </c>
      <c r="D104" t="s">
        <v>118</v>
      </c>
      <c r="L104">
        <v>2</v>
      </c>
      <c r="S104" t="s">
        <v>1261</v>
      </c>
      <c r="W104">
        <v>1500000</v>
      </c>
      <c r="Z104" t="s">
        <v>1197</v>
      </c>
      <c r="AA104" s="107"/>
      <c r="AB104" s="107"/>
      <c r="AC104" s="107"/>
      <c r="AD104" s="107">
        <f>(AC100*AD98)-(AC100*AC98)</f>
        <v>179479.93386243389</v>
      </c>
      <c r="AE104" s="107">
        <f>(AC100*AE98)-(AC100*AC98)</f>
        <v>717919.73544973554</v>
      </c>
      <c r="AF104" s="107">
        <f>(AC100*AF98)-(AC100*AC98)</f>
        <v>717919.73544973554</v>
      </c>
      <c r="BA104" t="s">
        <v>956</v>
      </c>
      <c r="BB104" t="s">
        <v>151</v>
      </c>
      <c r="BC104" t="s">
        <v>152</v>
      </c>
      <c r="BD104" t="s">
        <v>132</v>
      </c>
      <c r="BE104" t="s">
        <v>167</v>
      </c>
      <c r="BI104" t="s">
        <v>221</v>
      </c>
      <c r="BJ104" t="s">
        <v>189</v>
      </c>
      <c r="BK104" t="s">
        <v>957</v>
      </c>
      <c r="BL104">
        <v>4</v>
      </c>
      <c r="CA104" t="s">
        <v>319</v>
      </c>
      <c r="CB104" t="s">
        <v>160</v>
      </c>
      <c r="CC104" t="s">
        <v>117</v>
      </c>
      <c r="CD104" t="s">
        <v>124</v>
      </c>
      <c r="CL104">
        <v>2</v>
      </c>
    </row>
    <row r="105" spans="1:90">
      <c r="A105" t="s">
        <v>285</v>
      </c>
      <c r="B105" t="s">
        <v>116</v>
      </c>
      <c r="C105" t="s">
        <v>152</v>
      </c>
      <c r="D105" t="s">
        <v>118</v>
      </c>
      <c r="L105">
        <v>2</v>
      </c>
      <c r="Z105" t="s">
        <v>1196</v>
      </c>
      <c r="AA105" s="107"/>
      <c r="AB105" s="107"/>
      <c r="AC105" s="107"/>
      <c r="AD105" s="107"/>
      <c r="AE105" s="107">
        <f>(AD100*AE98)-(AD100*AD98)</f>
        <v>1531016.9749206351</v>
      </c>
      <c r="AF105" s="107">
        <f>(AD100*AF98)-(AD100*AD98)</f>
        <v>1531016.9749206351</v>
      </c>
      <c r="BA105" t="s">
        <v>1001</v>
      </c>
      <c r="BB105" t="s">
        <v>215</v>
      </c>
      <c r="BC105" t="s">
        <v>149</v>
      </c>
      <c r="BD105" t="s">
        <v>124</v>
      </c>
      <c r="BE105" t="s">
        <v>167</v>
      </c>
      <c r="BI105" t="s">
        <v>186</v>
      </c>
      <c r="BJ105" t="s">
        <v>181</v>
      </c>
      <c r="BK105" t="s">
        <v>1002</v>
      </c>
      <c r="BL105">
        <v>5</v>
      </c>
      <c r="CA105" t="s">
        <v>320</v>
      </c>
      <c r="CB105" t="s">
        <v>160</v>
      </c>
      <c r="CC105" t="s">
        <v>277</v>
      </c>
      <c r="CD105" t="s">
        <v>124</v>
      </c>
      <c r="CL105">
        <v>2</v>
      </c>
    </row>
    <row r="106" spans="1:90">
      <c r="A106" t="s">
        <v>286</v>
      </c>
      <c r="B106" t="s">
        <v>116</v>
      </c>
      <c r="C106" t="s">
        <v>149</v>
      </c>
      <c r="D106" t="s">
        <v>118</v>
      </c>
      <c r="L106">
        <v>2</v>
      </c>
      <c r="S106" t="s">
        <v>1262</v>
      </c>
      <c r="W106">
        <v>100000</v>
      </c>
      <c r="Z106" t="s">
        <v>1195</v>
      </c>
      <c r="AA106" s="107"/>
      <c r="AB106" s="107"/>
      <c r="AC106" s="107"/>
      <c r="AD106" s="107"/>
      <c r="AE106" s="107"/>
      <c r="AF106" s="107">
        <f>(AE100*AF98)-(AE100*AE98)</f>
        <v>0</v>
      </c>
      <c r="BA106" s="33" t="s">
        <v>1059</v>
      </c>
      <c r="BB106" s="33" t="s">
        <v>172</v>
      </c>
      <c r="BC106" s="33" t="s">
        <v>152</v>
      </c>
      <c r="BD106" s="33" t="s">
        <v>118</v>
      </c>
      <c r="BE106" s="33" t="s">
        <v>167</v>
      </c>
      <c r="BF106" s="33"/>
      <c r="BG106" s="33"/>
      <c r="BH106" s="33"/>
      <c r="BI106" t="s">
        <v>418</v>
      </c>
      <c r="BJ106" t="s">
        <v>221</v>
      </c>
      <c r="BK106" t="s">
        <v>1060</v>
      </c>
      <c r="BL106">
        <v>5</v>
      </c>
      <c r="CA106" t="s">
        <v>321</v>
      </c>
      <c r="CB106" t="s">
        <v>160</v>
      </c>
      <c r="CC106" t="s">
        <v>117</v>
      </c>
      <c r="CD106" t="s">
        <v>132</v>
      </c>
      <c r="CJ106">
        <v>42317</v>
      </c>
      <c r="CL106">
        <v>2</v>
      </c>
    </row>
    <row r="107" spans="1:90">
      <c r="A107" t="s">
        <v>287</v>
      </c>
      <c r="B107" t="s">
        <v>116</v>
      </c>
      <c r="C107" t="s">
        <v>152</v>
      </c>
      <c r="D107" t="s">
        <v>118</v>
      </c>
      <c r="L107">
        <v>2</v>
      </c>
      <c r="AA107" s="107"/>
      <c r="AB107" s="107">
        <f>SUM(AB102:AB106)</f>
        <v>83070.470899470907</v>
      </c>
      <c r="AC107" s="107">
        <f t="shared" ref="AC107:AF107" si="79">SUM(AC102:AC106)</f>
        <v>220288.5738095238</v>
      </c>
      <c r="AD107" s="107">
        <f t="shared" si="79"/>
        <v>674204.71349206357</v>
      </c>
      <c r="AE107" s="107">
        <f t="shared" si="79"/>
        <v>3566970.1074603181</v>
      </c>
      <c r="AF107" s="107">
        <f t="shared" si="79"/>
        <v>3566970.1074603181</v>
      </c>
      <c r="BA107" t="s">
        <v>1113</v>
      </c>
      <c r="BB107" t="s">
        <v>151</v>
      </c>
      <c r="BC107" t="s">
        <v>152</v>
      </c>
      <c r="BD107" t="s">
        <v>124</v>
      </c>
      <c r="BJ107" t="s">
        <v>156</v>
      </c>
      <c r="BK107" t="s">
        <v>1114</v>
      </c>
      <c r="CA107" t="s">
        <v>322</v>
      </c>
      <c r="CB107" t="s">
        <v>160</v>
      </c>
      <c r="CC107" t="s">
        <v>117</v>
      </c>
      <c r="CD107" t="s">
        <v>132</v>
      </c>
      <c r="CL107">
        <v>2</v>
      </c>
    </row>
    <row r="108" spans="1:90">
      <c r="A108" t="s">
        <v>288</v>
      </c>
      <c r="B108" t="s">
        <v>116</v>
      </c>
      <c r="C108" t="s">
        <v>152</v>
      </c>
      <c r="D108" t="s">
        <v>118</v>
      </c>
      <c r="L108">
        <v>2</v>
      </c>
      <c r="BA108" t="s">
        <v>1115</v>
      </c>
      <c r="BB108" t="s">
        <v>151</v>
      </c>
      <c r="BC108" t="s">
        <v>152</v>
      </c>
      <c r="BD108" t="s">
        <v>118</v>
      </c>
      <c r="BE108" t="s">
        <v>167</v>
      </c>
      <c r="BJ108" t="s">
        <v>156</v>
      </c>
      <c r="BK108" t="s">
        <v>192</v>
      </c>
      <c r="CA108" t="s">
        <v>323</v>
      </c>
      <c r="CB108" t="s">
        <v>160</v>
      </c>
      <c r="CC108" t="s">
        <v>120</v>
      </c>
      <c r="CD108" t="s">
        <v>124</v>
      </c>
      <c r="CL108">
        <v>2</v>
      </c>
    </row>
    <row r="109" spans="1:90">
      <c r="A109" t="s">
        <v>289</v>
      </c>
      <c r="B109" t="s">
        <v>116</v>
      </c>
      <c r="C109" t="s">
        <v>152</v>
      </c>
      <c r="D109" t="s">
        <v>118</v>
      </c>
      <c r="L109">
        <v>2</v>
      </c>
      <c r="BA109" t="s">
        <v>1117</v>
      </c>
      <c r="BB109" t="s">
        <v>151</v>
      </c>
      <c r="BC109" t="s">
        <v>149</v>
      </c>
      <c r="BD109" t="s">
        <v>118</v>
      </c>
      <c r="BE109" t="s">
        <v>167</v>
      </c>
      <c r="BI109" t="s">
        <v>181</v>
      </c>
      <c r="BJ109" t="s">
        <v>181</v>
      </c>
      <c r="BK109" t="s">
        <v>1118</v>
      </c>
      <c r="CA109" t="s">
        <v>324</v>
      </c>
      <c r="CB109" t="s">
        <v>160</v>
      </c>
      <c r="CC109" t="s">
        <v>117</v>
      </c>
      <c r="CD109" t="s">
        <v>118</v>
      </c>
      <c r="CL109">
        <v>2</v>
      </c>
    </row>
    <row r="110" spans="1:90">
      <c r="A110" t="s">
        <v>290</v>
      </c>
      <c r="B110" t="s">
        <v>116</v>
      </c>
      <c r="C110" t="s">
        <v>152</v>
      </c>
      <c r="D110" t="s">
        <v>118</v>
      </c>
      <c r="L110">
        <v>2</v>
      </c>
      <c r="BA110" t="s">
        <v>1126</v>
      </c>
      <c r="BB110" t="s">
        <v>160</v>
      </c>
      <c r="BC110" t="s">
        <v>117</v>
      </c>
      <c r="BD110" t="s">
        <v>124</v>
      </c>
      <c r="BE110" t="s">
        <v>1127</v>
      </c>
      <c r="BI110" t="s">
        <v>221</v>
      </c>
      <c r="BJ110" t="s">
        <v>221</v>
      </c>
      <c r="BK110" t="s">
        <v>347</v>
      </c>
      <c r="CA110" t="s">
        <v>325</v>
      </c>
      <c r="CB110" t="s">
        <v>162</v>
      </c>
      <c r="CC110" t="s">
        <v>152</v>
      </c>
      <c r="CD110" t="s">
        <v>124</v>
      </c>
      <c r="CL110">
        <v>2</v>
      </c>
    </row>
    <row r="111" spans="1:90">
      <c r="A111" t="s">
        <v>291</v>
      </c>
      <c r="B111" t="s">
        <v>116</v>
      </c>
      <c r="C111" t="s">
        <v>152</v>
      </c>
      <c r="D111" t="s">
        <v>118</v>
      </c>
      <c r="L111">
        <v>2</v>
      </c>
      <c r="BA111" t="s">
        <v>1133</v>
      </c>
      <c r="BB111" t="s">
        <v>151</v>
      </c>
      <c r="BC111" t="s">
        <v>152</v>
      </c>
      <c r="BD111" t="s">
        <v>118</v>
      </c>
      <c r="BE111" t="s">
        <v>167</v>
      </c>
      <c r="BI111" t="s">
        <v>221</v>
      </c>
      <c r="BJ111" t="s">
        <v>221</v>
      </c>
      <c r="BK111" t="s">
        <v>1134</v>
      </c>
      <c r="BL111">
        <v>2</v>
      </c>
      <c r="CA111" t="s">
        <v>326</v>
      </c>
      <c r="CB111" t="s">
        <v>162</v>
      </c>
      <c r="CC111" t="s">
        <v>152</v>
      </c>
      <c r="CD111" t="s">
        <v>118</v>
      </c>
      <c r="CL111">
        <v>2</v>
      </c>
    </row>
    <row r="112" spans="1:90">
      <c r="A112" t="s">
        <v>292</v>
      </c>
      <c r="B112" t="s">
        <v>116</v>
      </c>
      <c r="C112" t="s">
        <v>149</v>
      </c>
      <c r="D112" t="s">
        <v>118</v>
      </c>
      <c r="L112">
        <v>2</v>
      </c>
      <c r="AA112" s="84"/>
      <c r="AB112" s="84"/>
      <c r="AC112" s="84"/>
      <c r="AD112" s="84"/>
      <c r="AE112" s="84"/>
      <c r="AF112" s="84"/>
      <c r="BA112" t="s">
        <v>1136</v>
      </c>
      <c r="BB112" t="s">
        <v>151</v>
      </c>
      <c r="BC112" t="s">
        <v>152</v>
      </c>
      <c r="BD112" t="s">
        <v>124</v>
      </c>
      <c r="BE112" t="s">
        <v>167</v>
      </c>
      <c r="BI112" t="s">
        <v>418</v>
      </c>
      <c r="BJ112" t="s">
        <v>418</v>
      </c>
      <c r="BK112" t="s">
        <v>1137</v>
      </c>
      <c r="BL112">
        <v>2</v>
      </c>
      <c r="CA112" t="s">
        <v>327</v>
      </c>
      <c r="CB112" t="s">
        <v>162</v>
      </c>
      <c r="CC112" t="s">
        <v>149</v>
      </c>
      <c r="CD112" t="s">
        <v>118</v>
      </c>
      <c r="CL112">
        <v>2</v>
      </c>
    </row>
    <row r="113" spans="1:90">
      <c r="A113" t="s">
        <v>293</v>
      </c>
      <c r="B113" t="s">
        <v>116</v>
      </c>
      <c r="C113" t="s">
        <v>152</v>
      </c>
      <c r="D113" t="s">
        <v>118</v>
      </c>
      <c r="L113">
        <v>2</v>
      </c>
      <c r="BA113" t="s">
        <v>1141</v>
      </c>
      <c r="BB113" t="s">
        <v>151</v>
      </c>
      <c r="BC113" t="s">
        <v>152</v>
      </c>
      <c r="BD113" t="s">
        <v>124</v>
      </c>
      <c r="BE113" t="s">
        <v>167</v>
      </c>
      <c r="BI113" t="s">
        <v>156</v>
      </c>
      <c r="BJ113" t="s">
        <v>156</v>
      </c>
      <c r="BK113" t="s">
        <v>1142</v>
      </c>
      <c r="BL113">
        <v>0</v>
      </c>
      <c r="CA113" t="s">
        <v>328</v>
      </c>
      <c r="CB113" t="s">
        <v>162</v>
      </c>
      <c r="CC113" t="s">
        <v>152</v>
      </c>
      <c r="CD113" t="s">
        <v>118</v>
      </c>
      <c r="CL113">
        <v>2</v>
      </c>
    </row>
    <row r="114" spans="1:90">
      <c r="A114" t="s">
        <v>294</v>
      </c>
      <c r="B114" t="s">
        <v>116</v>
      </c>
      <c r="C114" t="s">
        <v>152</v>
      </c>
      <c r="D114" t="s">
        <v>124</v>
      </c>
      <c r="E114" t="s">
        <v>295</v>
      </c>
      <c r="J114" t="s">
        <v>168</v>
      </c>
      <c r="K114" t="s">
        <v>296</v>
      </c>
      <c r="L114">
        <v>2</v>
      </c>
      <c r="AB114" s="106"/>
      <c r="BA114" t="s">
        <v>1145</v>
      </c>
      <c r="BB114" t="s">
        <v>151</v>
      </c>
      <c r="BC114" t="s">
        <v>149</v>
      </c>
      <c r="BD114" t="s">
        <v>118</v>
      </c>
      <c r="BE114" t="s">
        <v>167</v>
      </c>
      <c r="BI114" t="s">
        <v>168</v>
      </c>
      <c r="BJ114" t="s">
        <v>168</v>
      </c>
      <c r="BK114" t="s">
        <v>1146</v>
      </c>
      <c r="BL114">
        <v>2</v>
      </c>
      <c r="CA114" t="s">
        <v>330</v>
      </c>
      <c r="CB114" t="s">
        <v>151</v>
      </c>
      <c r="CC114" t="s">
        <v>152</v>
      </c>
      <c r="CD114" t="s">
        <v>124</v>
      </c>
      <c r="CE114" t="s">
        <v>167</v>
      </c>
      <c r="CI114" t="s">
        <v>186</v>
      </c>
      <c r="CJ114" t="s">
        <v>181</v>
      </c>
      <c r="CK114" t="s">
        <v>331</v>
      </c>
      <c r="CL114">
        <v>2</v>
      </c>
    </row>
    <row r="115" spans="1:90">
      <c r="A115" t="s">
        <v>297</v>
      </c>
      <c r="B115" t="s">
        <v>151</v>
      </c>
      <c r="C115" t="s">
        <v>152</v>
      </c>
      <c r="D115" t="s">
        <v>118</v>
      </c>
      <c r="L115">
        <v>2</v>
      </c>
      <c r="CA115" t="s">
        <v>333</v>
      </c>
      <c r="CB115" t="s">
        <v>151</v>
      </c>
      <c r="CC115" t="s">
        <v>152</v>
      </c>
      <c r="CD115" t="s">
        <v>124</v>
      </c>
      <c r="CE115" t="s">
        <v>167</v>
      </c>
      <c r="CI115" t="s">
        <v>189</v>
      </c>
      <c r="CJ115" t="s">
        <v>189</v>
      </c>
      <c r="CK115" t="s">
        <v>334</v>
      </c>
      <c r="CL115">
        <v>2</v>
      </c>
    </row>
    <row r="116" spans="1:90">
      <c r="A116" t="s">
        <v>298</v>
      </c>
      <c r="B116" t="s">
        <v>151</v>
      </c>
      <c r="C116" t="s">
        <v>152</v>
      </c>
      <c r="D116" t="s">
        <v>118</v>
      </c>
      <c r="L116">
        <v>2</v>
      </c>
      <c r="AB116" s="106"/>
      <c r="CA116" t="s">
        <v>338</v>
      </c>
      <c r="CB116" t="s">
        <v>151</v>
      </c>
      <c r="CC116" t="s">
        <v>152</v>
      </c>
      <c r="CD116" t="s">
        <v>132</v>
      </c>
      <c r="CE116" t="s">
        <v>167</v>
      </c>
      <c r="CI116" t="s">
        <v>156</v>
      </c>
      <c r="CJ116" t="s">
        <v>156</v>
      </c>
      <c r="CK116" t="s">
        <v>339</v>
      </c>
      <c r="CL116">
        <v>2</v>
      </c>
    </row>
    <row r="117" spans="1:90">
      <c r="A117" t="s">
        <v>299</v>
      </c>
      <c r="B117" t="s">
        <v>151</v>
      </c>
      <c r="C117" t="s">
        <v>277</v>
      </c>
      <c r="D117" t="s">
        <v>132</v>
      </c>
      <c r="E117" t="s">
        <v>180</v>
      </c>
      <c r="I117" t="s">
        <v>181</v>
      </c>
      <c r="K117" t="s">
        <v>300</v>
      </c>
      <c r="L117">
        <v>2</v>
      </c>
      <c r="CA117" t="s">
        <v>340</v>
      </c>
      <c r="CB117" t="s">
        <v>151</v>
      </c>
      <c r="CC117" t="s">
        <v>152</v>
      </c>
      <c r="CD117" t="s">
        <v>124</v>
      </c>
      <c r="CL117">
        <v>2</v>
      </c>
    </row>
    <row r="118" spans="1:90">
      <c r="A118" t="s">
        <v>301</v>
      </c>
      <c r="B118" t="s">
        <v>151</v>
      </c>
      <c r="C118" t="s">
        <v>149</v>
      </c>
      <c r="D118" t="s">
        <v>118</v>
      </c>
      <c r="K118" t="s">
        <v>302</v>
      </c>
      <c r="L118">
        <v>2</v>
      </c>
      <c r="CA118" t="s">
        <v>341</v>
      </c>
      <c r="CB118" t="s">
        <v>151</v>
      </c>
      <c r="CC118" t="s">
        <v>152</v>
      </c>
      <c r="CD118" t="s">
        <v>124</v>
      </c>
      <c r="CE118" t="s">
        <v>167</v>
      </c>
      <c r="CI118" t="s">
        <v>181</v>
      </c>
      <c r="CJ118" t="s">
        <v>181</v>
      </c>
      <c r="CK118" t="s">
        <v>342</v>
      </c>
      <c r="CL118">
        <v>2</v>
      </c>
    </row>
    <row r="119" spans="1:90">
      <c r="A119" t="s">
        <v>303</v>
      </c>
      <c r="B119" t="s">
        <v>151</v>
      </c>
      <c r="C119" t="s">
        <v>152</v>
      </c>
      <c r="D119" t="s">
        <v>118</v>
      </c>
      <c r="L119">
        <v>2</v>
      </c>
      <c r="CA119" t="s">
        <v>343</v>
      </c>
      <c r="CB119" t="s">
        <v>151</v>
      </c>
      <c r="CC119" t="s">
        <v>152</v>
      </c>
      <c r="CD119" t="s">
        <v>118</v>
      </c>
      <c r="CL119">
        <v>2</v>
      </c>
    </row>
    <row r="120" spans="1:90">
      <c r="A120" t="s">
        <v>304</v>
      </c>
      <c r="B120" t="s">
        <v>151</v>
      </c>
      <c r="C120" t="s">
        <v>149</v>
      </c>
      <c r="D120" t="s">
        <v>118</v>
      </c>
      <c r="E120" t="s">
        <v>180</v>
      </c>
      <c r="I120" t="s">
        <v>221</v>
      </c>
      <c r="J120" t="s">
        <v>156</v>
      </c>
      <c r="K120" t="s">
        <v>157</v>
      </c>
      <c r="L120">
        <v>2</v>
      </c>
      <c r="CA120" t="s">
        <v>344</v>
      </c>
      <c r="CB120" t="s">
        <v>151</v>
      </c>
      <c r="CC120" t="s">
        <v>152</v>
      </c>
      <c r="CD120" t="s">
        <v>118</v>
      </c>
      <c r="CE120" t="s">
        <v>167</v>
      </c>
      <c r="CI120" t="s">
        <v>181</v>
      </c>
      <c r="CJ120" t="s">
        <v>181</v>
      </c>
      <c r="CK120" t="s">
        <v>345</v>
      </c>
      <c r="CL120">
        <v>2</v>
      </c>
    </row>
    <row r="121" spans="1:90">
      <c r="A121" t="s">
        <v>305</v>
      </c>
      <c r="B121" t="s">
        <v>151</v>
      </c>
      <c r="C121" t="s">
        <v>152</v>
      </c>
      <c r="D121" t="s">
        <v>132</v>
      </c>
      <c r="E121" t="s">
        <v>167</v>
      </c>
      <c r="I121" t="s">
        <v>168</v>
      </c>
      <c r="J121" t="s">
        <v>156</v>
      </c>
      <c r="K121" t="s">
        <v>306</v>
      </c>
      <c r="L121">
        <v>2</v>
      </c>
      <c r="CA121" t="s">
        <v>346</v>
      </c>
      <c r="CB121" t="s">
        <v>151</v>
      </c>
      <c r="CC121" t="s">
        <v>152</v>
      </c>
      <c r="CD121" t="s">
        <v>118</v>
      </c>
      <c r="CE121" t="s">
        <v>167</v>
      </c>
      <c r="CI121" t="s">
        <v>181</v>
      </c>
      <c r="CJ121" t="s">
        <v>181</v>
      </c>
      <c r="CK121" t="s">
        <v>347</v>
      </c>
      <c r="CL121">
        <v>2</v>
      </c>
    </row>
    <row r="122" spans="1:90">
      <c r="A122" t="s">
        <v>307</v>
      </c>
      <c r="B122" t="s">
        <v>151</v>
      </c>
      <c r="C122" t="s">
        <v>152</v>
      </c>
      <c r="D122" t="s">
        <v>118</v>
      </c>
      <c r="E122" t="s">
        <v>153</v>
      </c>
      <c r="J122" t="s">
        <v>181</v>
      </c>
      <c r="K122" t="s">
        <v>308</v>
      </c>
      <c r="L122">
        <v>2</v>
      </c>
      <c r="CA122" t="s">
        <v>350</v>
      </c>
      <c r="CB122" t="s">
        <v>151</v>
      </c>
      <c r="CC122" t="s">
        <v>152</v>
      </c>
      <c r="CD122" t="s">
        <v>124</v>
      </c>
      <c r="CE122" t="s">
        <v>167</v>
      </c>
      <c r="CL122">
        <v>2</v>
      </c>
    </row>
    <row r="123" spans="1:90">
      <c r="A123" t="s">
        <v>309</v>
      </c>
      <c r="B123" t="s">
        <v>151</v>
      </c>
      <c r="C123" t="s">
        <v>152</v>
      </c>
      <c r="D123" t="s">
        <v>124</v>
      </c>
      <c r="E123" t="s">
        <v>153</v>
      </c>
      <c r="I123" t="s">
        <v>181</v>
      </c>
      <c r="J123" t="s">
        <v>181</v>
      </c>
      <c r="K123" t="s">
        <v>310</v>
      </c>
      <c r="L123">
        <v>2</v>
      </c>
      <c r="CA123" t="s">
        <v>351</v>
      </c>
      <c r="CB123" t="s">
        <v>175</v>
      </c>
      <c r="CC123" t="s">
        <v>152</v>
      </c>
      <c r="CD123" t="s">
        <v>124</v>
      </c>
      <c r="CL123">
        <v>2</v>
      </c>
    </row>
    <row r="124" spans="1:90">
      <c r="A124" t="s">
        <v>311</v>
      </c>
      <c r="B124" t="s">
        <v>151</v>
      </c>
      <c r="C124" t="s">
        <v>152</v>
      </c>
      <c r="D124" t="s">
        <v>118</v>
      </c>
      <c r="L124">
        <v>2</v>
      </c>
      <c r="CA124" t="s">
        <v>352</v>
      </c>
      <c r="CB124" t="s">
        <v>175</v>
      </c>
      <c r="CC124" t="s">
        <v>152</v>
      </c>
      <c r="CD124" t="s">
        <v>132</v>
      </c>
      <c r="CL124">
        <v>2</v>
      </c>
    </row>
    <row r="125" spans="1:90">
      <c r="A125" t="s">
        <v>312</v>
      </c>
      <c r="B125" t="s">
        <v>151</v>
      </c>
      <c r="C125" t="s">
        <v>152</v>
      </c>
      <c r="D125" t="s">
        <v>118</v>
      </c>
      <c r="J125">
        <v>42354</v>
      </c>
      <c r="L125">
        <v>2</v>
      </c>
      <c r="CA125" t="s">
        <v>353</v>
      </c>
      <c r="CB125" t="s">
        <v>175</v>
      </c>
      <c r="CC125" t="s">
        <v>152</v>
      </c>
      <c r="CD125" t="s">
        <v>118</v>
      </c>
      <c r="CL125">
        <v>2</v>
      </c>
    </row>
    <row r="126" spans="1:90">
      <c r="A126" t="s">
        <v>126</v>
      </c>
      <c r="B126" t="s">
        <v>151</v>
      </c>
      <c r="C126" t="s">
        <v>152</v>
      </c>
      <c r="D126" t="s">
        <v>124</v>
      </c>
      <c r="L126">
        <v>2</v>
      </c>
      <c r="CA126" t="s">
        <v>354</v>
      </c>
      <c r="CB126" t="s">
        <v>175</v>
      </c>
      <c r="CC126" t="s">
        <v>149</v>
      </c>
      <c r="CD126" t="s">
        <v>124</v>
      </c>
      <c r="CL126">
        <v>2</v>
      </c>
    </row>
    <row r="127" spans="1:90">
      <c r="A127" t="s">
        <v>313</v>
      </c>
      <c r="B127" t="s">
        <v>151</v>
      </c>
      <c r="C127" t="s">
        <v>152</v>
      </c>
      <c r="D127" t="s">
        <v>118</v>
      </c>
      <c r="L127">
        <v>2</v>
      </c>
      <c r="CA127" t="s">
        <v>355</v>
      </c>
      <c r="CB127" t="s">
        <v>175</v>
      </c>
      <c r="CC127" t="s">
        <v>152</v>
      </c>
      <c r="CD127" t="s">
        <v>124</v>
      </c>
      <c r="CL127">
        <v>2</v>
      </c>
    </row>
    <row r="128" spans="1:90">
      <c r="A128" t="s">
        <v>314</v>
      </c>
      <c r="B128" t="s">
        <v>151</v>
      </c>
      <c r="C128" t="s">
        <v>152</v>
      </c>
      <c r="D128" t="s">
        <v>132</v>
      </c>
      <c r="L128">
        <v>2</v>
      </c>
      <c r="CA128" t="s">
        <v>356</v>
      </c>
      <c r="CB128" t="s">
        <v>175</v>
      </c>
      <c r="CC128" t="s">
        <v>152</v>
      </c>
      <c r="CD128" t="s">
        <v>124</v>
      </c>
      <c r="CL128">
        <v>2</v>
      </c>
    </row>
    <row r="129" spans="1:90">
      <c r="A129" t="s">
        <v>315</v>
      </c>
      <c r="B129" t="s">
        <v>151</v>
      </c>
      <c r="C129" t="s">
        <v>152</v>
      </c>
      <c r="D129" t="s">
        <v>124</v>
      </c>
      <c r="L129">
        <v>2</v>
      </c>
      <c r="CA129" t="s">
        <v>357</v>
      </c>
      <c r="CB129" t="s">
        <v>175</v>
      </c>
      <c r="CC129" t="s">
        <v>152</v>
      </c>
      <c r="CD129" t="s">
        <v>124</v>
      </c>
      <c r="CL129">
        <v>2</v>
      </c>
    </row>
    <row r="130" spans="1:90">
      <c r="A130" t="s">
        <v>316</v>
      </c>
      <c r="B130" t="s">
        <v>151</v>
      </c>
      <c r="C130" t="s">
        <v>149</v>
      </c>
      <c r="D130" t="s">
        <v>124</v>
      </c>
      <c r="I130" t="s">
        <v>189</v>
      </c>
      <c r="J130" t="s">
        <v>189</v>
      </c>
      <c r="L130">
        <v>2</v>
      </c>
      <c r="CA130" s="33" t="s">
        <v>358</v>
      </c>
      <c r="CB130" s="33" t="s">
        <v>172</v>
      </c>
      <c r="CC130" s="33" t="s">
        <v>152</v>
      </c>
      <c r="CD130" s="33" t="s">
        <v>124</v>
      </c>
      <c r="CE130" s="33"/>
      <c r="CF130" s="33"/>
      <c r="CG130" s="33"/>
      <c r="CH130" s="33"/>
      <c r="CL130">
        <v>2</v>
      </c>
    </row>
    <row r="131" spans="1:90">
      <c r="A131" t="s">
        <v>317</v>
      </c>
      <c r="B131" t="s">
        <v>151</v>
      </c>
      <c r="C131" t="s">
        <v>277</v>
      </c>
      <c r="D131" t="s">
        <v>124</v>
      </c>
      <c r="E131" t="s">
        <v>153</v>
      </c>
      <c r="K131" t="s">
        <v>318</v>
      </c>
      <c r="L131">
        <v>2</v>
      </c>
      <c r="CA131" s="33" t="s">
        <v>359</v>
      </c>
      <c r="CB131" s="33" t="s">
        <v>172</v>
      </c>
      <c r="CC131" s="33" t="s">
        <v>149</v>
      </c>
      <c r="CD131" s="33" t="s">
        <v>118</v>
      </c>
      <c r="CE131" s="33"/>
      <c r="CF131" s="33"/>
      <c r="CG131" s="33"/>
      <c r="CH131" s="33"/>
      <c r="CL131">
        <v>2</v>
      </c>
    </row>
    <row r="132" spans="1:90">
      <c r="A132" t="s">
        <v>319</v>
      </c>
      <c r="B132" t="s">
        <v>160</v>
      </c>
      <c r="C132" t="s">
        <v>117</v>
      </c>
      <c r="D132" t="s">
        <v>124</v>
      </c>
      <c r="L132">
        <v>2</v>
      </c>
      <c r="CA132" s="33" t="s">
        <v>360</v>
      </c>
      <c r="CB132" s="33" t="s">
        <v>172</v>
      </c>
      <c r="CC132" s="33" t="s">
        <v>152</v>
      </c>
      <c r="CD132" s="33" t="s">
        <v>124</v>
      </c>
      <c r="CE132" s="33"/>
      <c r="CF132" s="33"/>
      <c r="CG132" s="33"/>
      <c r="CH132" s="33"/>
      <c r="CL132">
        <v>2</v>
      </c>
    </row>
    <row r="133" spans="1:90">
      <c r="A133" t="s">
        <v>320</v>
      </c>
      <c r="B133" t="s">
        <v>160</v>
      </c>
      <c r="C133" t="s">
        <v>277</v>
      </c>
      <c r="D133" t="s">
        <v>124</v>
      </c>
      <c r="L133">
        <v>2</v>
      </c>
      <c r="CA133" t="s">
        <v>361</v>
      </c>
      <c r="CB133" t="s">
        <v>175</v>
      </c>
      <c r="CC133" t="s">
        <v>152</v>
      </c>
      <c r="CD133" t="s">
        <v>118</v>
      </c>
    </row>
    <row r="134" spans="1:90">
      <c r="A134" t="s">
        <v>321</v>
      </c>
      <c r="B134" t="s">
        <v>160</v>
      </c>
      <c r="C134" t="s">
        <v>117</v>
      </c>
      <c r="D134" t="s">
        <v>132</v>
      </c>
      <c r="J134">
        <v>42317</v>
      </c>
      <c r="L134">
        <v>2</v>
      </c>
      <c r="CA134" t="s">
        <v>362</v>
      </c>
      <c r="CB134" t="s">
        <v>160</v>
      </c>
      <c r="CC134" t="s">
        <v>120</v>
      </c>
      <c r="CD134" t="s">
        <v>118</v>
      </c>
      <c r="CL134">
        <v>2</v>
      </c>
    </row>
    <row r="135" spans="1:90">
      <c r="A135" t="s">
        <v>322</v>
      </c>
      <c r="B135" t="s">
        <v>160</v>
      </c>
      <c r="C135" t="s">
        <v>117</v>
      </c>
      <c r="D135" t="s">
        <v>132</v>
      </c>
      <c r="L135">
        <v>2</v>
      </c>
      <c r="CA135" t="s">
        <v>363</v>
      </c>
      <c r="CB135" t="s">
        <v>151</v>
      </c>
      <c r="CC135" t="s">
        <v>152</v>
      </c>
      <c r="CD135" t="s">
        <v>124</v>
      </c>
      <c r="CL135">
        <v>2</v>
      </c>
    </row>
    <row r="136" spans="1:90">
      <c r="A136" t="s">
        <v>323</v>
      </c>
      <c r="B136" t="s">
        <v>160</v>
      </c>
      <c r="C136" t="s">
        <v>120</v>
      </c>
      <c r="D136" t="s">
        <v>124</v>
      </c>
      <c r="L136">
        <v>2</v>
      </c>
      <c r="CA136" t="s">
        <v>365</v>
      </c>
      <c r="CB136" t="s">
        <v>116</v>
      </c>
      <c r="CC136" t="s">
        <v>117</v>
      </c>
      <c r="CD136" t="s">
        <v>118</v>
      </c>
      <c r="CL136">
        <v>2</v>
      </c>
    </row>
    <row r="137" spans="1:90">
      <c r="A137" t="s">
        <v>324</v>
      </c>
      <c r="B137" t="s">
        <v>160</v>
      </c>
      <c r="C137" t="s">
        <v>117</v>
      </c>
      <c r="D137" t="s">
        <v>118</v>
      </c>
      <c r="L137">
        <v>2</v>
      </c>
      <c r="CA137" t="s">
        <v>366</v>
      </c>
      <c r="CB137" t="s">
        <v>116</v>
      </c>
      <c r="CC137" t="s">
        <v>117</v>
      </c>
      <c r="CD137" t="s">
        <v>118</v>
      </c>
      <c r="CL137">
        <v>2</v>
      </c>
    </row>
    <row r="138" spans="1:90">
      <c r="A138" t="s">
        <v>325</v>
      </c>
      <c r="B138" t="s">
        <v>162</v>
      </c>
      <c r="C138" t="s">
        <v>152</v>
      </c>
      <c r="D138" t="s">
        <v>124</v>
      </c>
      <c r="L138">
        <v>2</v>
      </c>
      <c r="CA138" t="s">
        <v>367</v>
      </c>
      <c r="CB138" t="s">
        <v>116</v>
      </c>
      <c r="CC138" t="s">
        <v>117</v>
      </c>
      <c r="CD138" t="s">
        <v>118</v>
      </c>
      <c r="CF138" t="s">
        <v>163</v>
      </c>
      <c r="CH138" t="s">
        <v>164</v>
      </c>
      <c r="CL138">
        <v>2</v>
      </c>
    </row>
    <row r="139" spans="1:90">
      <c r="A139" t="s">
        <v>326</v>
      </c>
      <c r="B139" t="s">
        <v>162</v>
      </c>
      <c r="C139" t="s">
        <v>152</v>
      </c>
      <c r="D139" t="s">
        <v>118</v>
      </c>
      <c r="L139">
        <v>2</v>
      </c>
      <c r="CA139" t="s">
        <v>368</v>
      </c>
      <c r="CB139" t="s">
        <v>116</v>
      </c>
      <c r="CC139" t="s">
        <v>120</v>
      </c>
      <c r="CD139" t="s">
        <v>118</v>
      </c>
      <c r="CL139">
        <v>2</v>
      </c>
    </row>
    <row r="140" spans="1:90">
      <c r="A140" t="s">
        <v>327</v>
      </c>
      <c r="B140" t="s">
        <v>162</v>
      </c>
      <c r="C140" t="s">
        <v>149</v>
      </c>
      <c r="D140" t="s">
        <v>118</v>
      </c>
      <c r="L140">
        <v>2</v>
      </c>
      <c r="CA140" t="s">
        <v>369</v>
      </c>
      <c r="CB140" t="s">
        <v>116</v>
      </c>
      <c r="CC140" t="s">
        <v>152</v>
      </c>
      <c r="CD140" t="s">
        <v>118</v>
      </c>
      <c r="CF140" t="s">
        <v>370</v>
      </c>
      <c r="CH140" t="s">
        <v>164</v>
      </c>
      <c r="CL140">
        <v>2</v>
      </c>
    </row>
    <row r="141" spans="1:90">
      <c r="A141" t="s">
        <v>328</v>
      </c>
      <c r="B141" t="s">
        <v>162</v>
      </c>
      <c r="C141" t="s">
        <v>152</v>
      </c>
      <c r="D141" t="s">
        <v>118</v>
      </c>
      <c r="L141">
        <v>2</v>
      </c>
      <c r="CA141" t="s">
        <v>371</v>
      </c>
      <c r="CB141" t="s">
        <v>116</v>
      </c>
      <c r="CC141" t="s">
        <v>152</v>
      </c>
      <c r="CD141" t="s">
        <v>118</v>
      </c>
      <c r="CF141" t="s">
        <v>370</v>
      </c>
      <c r="CH141" t="s">
        <v>164</v>
      </c>
      <c r="CL141">
        <v>2</v>
      </c>
    </row>
    <row r="142" spans="1:90">
      <c r="A142" t="s">
        <v>329</v>
      </c>
      <c r="B142" t="s">
        <v>151</v>
      </c>
      <c r="C142" t="s">
        <v>152</v>
      </c>
      <c r="D142" t="s">
        <v>124</v>
      </c>
      <c r="E142" t="s">
        <v>153</v>
      </c>
      <c r="J142" t="s">
        <v>156</v>
      </c>
      <c r="L142">
        <v>2</v>
      </c>
      <c r="CA142" t="s">
        <v>372</v>
      </c>
      <c r="CB142" t="s">
        <v>116</v>
      </c>
      <c r="CC142" t="s">
        <v>149</v>
      </c>
      <c r="CD142" t="s">
        <v>118</v>
      </c>
      <c r="CL142">
        <v>2</v>
      </c>
    </row>
    <row r="143" spans="1:90">
      <c r="A143" t="s">
        <v>330</v>
      </c>
      <c r="B143" t="s">
        <v>151</v>
      </c>
      <c r="C143" t="s">
        <v>152</v>
      </c>
      <c r="D143" t="s">
        <v>124</v>
      </c>
      <c r="E143" t="s">
        <v>167</v>
      </c>
      <c r="I143" t="s">
        <v>186</v>
      </c>
      <c r="J143" t="s">
        <v>181</v>
      </c>
      <c r="K143" t="s">
        <v>331</v>
      </c>
      <c r="L143">
        <v>2</v>
      </c>
      <c r="CA143" t="s">
        <v>298</v>
      </c>
      <c r="CB143" t="s">
        <v>116</v>
      </c>
      <c r="CC143" t="s">
        <v>149</v>
      </c>
      <c r="CD143" t="s">
        <v>118</v>
      </c>
      <c r="CL143">
        <v>2</v>
      </c>
    </row>
    <row r="144" spans="1:90">
      <c r="A144" t="s">
        <v>332</v>
      </c>
      <c r="B144" t="s">
        <v>151</v>
      </c>
      <c r="C144" t="s">
        <v>149</v>
      </c>
      <c r="D144" t="s">
        <v>124</v>
      </c>
      <c r="E144" t="s">
        <v>153</v>
      </c>
      <c r="I144" t="s">
        <v>189</v>
      </c>
      <c r="J144" t="s">
        <v>189</v>
      </c>
      <c r="K144" t="s">
        <v>224</v>
      </c>
      <c r="L144">
        <v>2</v>
      </c>
      <c r="CA144" t="s">
        <v>373</v>
      </c>
      <c r="CB144" t="s">
        <v>151</v>
      </c>
      <c r="CC144" t="s">
        <v>152</v>
      </c>
      <c r="CD144" t="s">
        <v>124</v>
      </c>
      <c r="CJ144" t="s">
        <v>186</v>
      </c>
      <c r="CL144">
        <v>2</v>
      </c>
    </row>
    <row r="145" spans="1:90">
      <c r="A145" t="s">
        <v>333</v>
      </c>
      <c r="B145" t="s">
        <v>151</v>
      </c>
      <c r="C145" t="s">
        <v>152</v>
      </c>
      <c r="D145" t="s">
        <v>124</v>
      </c>
      <c r="E145" t="s">
        <v>167</v>
      </c>
      <c r="I145" t="s">
        <v>189</v>
      </c>
      <c r="J145" t="s">
        <v>189</v>
      </c>
      <c r="K145" t="s">
        <v>334</v>
      </c>
      <c r="L145">
        <v>2</v>
      </c>
      <c r="CA145" t="s">
        <v>374</v>
      </c>
      <c r="CB145" t="s">
        <v>151</v>
      </c>
      <c r="CC145" t="s">
        <v>152</v>
      </c>
      <c r="CD145" t="s">
        <v>118</v>
      </c>
      <c r="CJ145" t="s">
        <v>168</v>
      </c>
      <c r="CK145" t="s">
        <v>375</v>
      </c>
      <c r="CL145">
        <v>2</v>
      </c>
    </row>
    <row r="146" spans="1:90">
      <c r="A146" t="s">
        <v>335</v>
      </c>
      <c r="B146" t="s">
        <v>151</v>
      </c>
      <c r="C146" t="s">
        <v>152</v>
      </c>
      <c r="D146" t="s">
        <v>124</v>
      </c>
      <c r="E146" t="s">
        <v>153</v>
      </c>
      <c r="I146" t="s">
        <v>221</v>
      </c>
      <c r="J146" t="s">
        <v>156</v>
      </c>
      <c r="K146" t="s">
        <v>300</v>
      </c>
      <c r="L146">
        <v>2</v>
      </c>
      <c r="CA146" t="s">
        <v>376</v>
      </c>
      <c r="CB146" t="s">
        <v>151</v>
      </c>
      <c r="CC146" t="s">
        <v>152</v>
      </c>
      <c r="CD146" t="s">
        <v>118</v>
      </c>
      <c r="CF146" t="s">
        <v>163</v>
      </c>
      <c r="CH146" t="s">
        <v>164</v>
      </c>
      <c r="CJ146" t="s">
        <v>221</v>
      </c>
      <c r="CK146" t="s">
        <v>377</v>
      </c>
      <c r="CL146">
        <v>2</v>
      </c>
    </row>
    <row r="147" spans="1:90">
      <c r="A147" t="s">
        <v>336</v>
      </c>
      <c r="B147" t="s">
        <v>151</v>
      </c>
      <c r="C147" t="s">
        <v>152</v>
      </c>
      <c r="D147" t="s">
        <v>124</v>
      </c>
      <c r="E147" t="s">
        <v>337</v>
      </c>
      <c r="J147" t="s">
        <v>181</v>
      </c>
      <c r="K147" t="s">
        <v>207</v>
      </c>
      <c r="L147">
        <v>2</v>
      </c>
      <c r="CA147" t="s">
        <v>378</v>
      </c>
      <c r="CB147" t="s">
        <v>151</v>
      </c>
      <c r="CC147" t="s">
        <v>149</v>
      </c>
      <c r="CD147" t="s">
        <v>118</v>
      </c>
      <c r="CE147" t="s">
        <v>167</v>
      </c>
      <c r="CJ147" t="s">
        <v>181</v>
      </c>
      <c r="CK147" t="s">
        <v>379</v>
      </c>
      <c r="CL147">
        <v>2</v>
      </c>
    </row>
    <row r="148" spans="1:90">
      <c r="A148" t="s">
        <v>338</v>
      </c>
      <c r="B148" t="s">
        <v>151</v>
      </c>
      <c r="C148" t="s">
        <v>152</v>
      </c>
      <c r="D148" t="s">
        <v>132</v>
      </c>
      <c r="E148" t="s">
        <v>167</v>
      </c>
      <c r="I148" t="s">
        <v>156</v>
      </c>
      <c r="J148" t="s">
        <v>156</v>
      </c>
      <c r="K148" t="s">
        <v>339</v>
      </c>
      <c r="L148">
        <v>2</v>
      </c>
      <c r="CA148" t="s">
        <v>380</v>
      </c>
      <c r="CB148" t="s">
        <v>151</v>
      </c>
      <c r="CC148" t="s">
        <v>152</v>
      </c>
      <c r="CD148" t="s">
        <v>118</v>
      </c>
      <c r="CL148">
        <v>2</v>
      </c>
    </row>
    <row r="149" spans="1:90">
      <c r="A149" t="s">
        <v>340</v>
      </c>
      <c r="B149" t="s">
        <v>151</v>
      </c>
      <c r="C149" t="s">
        <v>152</v>
      </c>
      <c r="D149" t="s">
        <v>124</v>
      </c>
      <c r="L149">
        <v>2</v>
      </c>
      <c r="CA149" t="s">
        <v>383</v>
      </c>
      <c r="CB149" t="s">
        <v>151</v>
      </c>
      <c r="CC149" t="s">
        <v>152</v>
      </c>
      <c r="CD149" t="s">
        <v>118</v>
      </c>
      <c r="CE149" t="s">
        <v>167</v>
      </c>
      <c r="CJ149" t="s">
        <v>168</v>
      </c>
      <c r="CK149" t="s">
        <v>384</v>
      </c>
      <c r="CL149">
        <v>2</v>
      </c>
    </row>
    <row r="150" spans="1:90">
      <c r="A150" t="s">
        <v>341</v>
      </c>
      <c r="B150" t="s">
        <v>151</v>
      </c>
      <c r="C150" t="s">
        <v>152</v>
      </c>
      <c r="D150" t="s">
        <v>124</v>
      </c>
      <c r="E150" t="s">
        <v>167</v>
      </c>
      <c r="I150" t="s">
        <v>181</v>
      </c>
      <c r="J150" t="s">
        <v>181</v>
      </c>
      <c r="K150" t="s">
        <v>342</v>
      </c>
      <c r="L150">
        <v>2</v>
      </c>
      <c r="CA150" t="s">
        <v>385</v>
      </c>
      <c r="CB150" t="s">
        <v>151</v>
      </c>
      <c r="CC150" t="s">
        <v>152</v>
      </c>
      <c r="CD150" t="s">
        <v>124</v>
      </c>
      <c r="CE150" t="s">
        <v>167</v>
      </c>
      <c r="CJ150" t="s">
        <v>189</v>
      </c>
      <c r="CK150" t="s">
        <v>386</v>
      </c>
      <c r="CL150">
        <v>2</v>
      </c>
    </row>
    <row r="151" spans="1:90">
      <c r="A151" t="s">
        <v>343</v>
      </c>
      <c r="B151" t="s">
        <v>151</v>
      </c>
      <c r="C151" t="s">
        <v>152</v>
      </c>
      <c r="D151" t="s">
        <v>118</v>
      </c>
      <c r="L151">
        <v>2</v>
      </c>
      <c r="CA151" t="s">
        <v>387</v>
      </c>
      <c r="CB151" t="s">
        <v>151</v>
      </c>
      <c r="CC151" t="s">
        <v>149</v>
      </c>
      <c r="CD151" t="s">
        <v>124</v>
      </c>
      <c r="CL151">
        <v>2</v>
      </c>
    </row>
    <row r="152" spans="1:90">
      <c r="A152" t="s">
        <v>344</v>
      </c>
      <c r="B152" t="s">
        <v>151</v>
      </c>
      <c r="C152" t="s">
        <v>152</v>
      </c>
      <c r="D152" t="s">
        <v>118</v>
      </c>
      <c r="E152" t="s">
        <v>167</v>
      </c>
      <c r="I152" t="s">
        <v>181</v>
      </c>
      <c r="J152" t="s">
        <v>181</v>
      </c>
      <c r="K152" t="s">
        <v>345</v>
      </c>
      <c r="L152">
        <v>2</v>
      </c>
      <c r="CA152" t="s">
        <v>388</v>
      </c>
      <c r="CB152" t="s">
        <v>160</v>
      </c>
      <c r="CC152" t="s">
        <v>117</v>
      </c>
      <c r="CD152" t="s">
        <v>118</v>
      </c>
      <c r="CL152">
        <v>2</v>
      </c>
    </row>
    <row r="153" spans="1:90">
      <c r="A153" t="s">
        <v>346</v>
      </c>
      <c r="B153" t="s">
        <v>151</v>
      </c>
      <c r="C153" t="s">
        <v>152</v>
      </c>
      <c r="D153" t="s">
        <v>118</v>
      </c>
      <c r="E153" t="s">
        <v>167</v>
      </c>
      <c r="I153" t="s">
        <v>181</v>
      </c>
      <c r="J153" t="s">
        <v>181</v>
      </c>
      <c r="K153" t="s">
        <v>347</v>
      </c>
      <c r="L153">
        <v>2</v>
      </c>
      <c r="CA153" t="s">
        <v>389</v>
      </c>
      <c r="CB153" t="s">
        <v>160</v>
      </c>
      <c r="CC153" t="s">
        <v>117</v>
      </c>
      <c r="CD153" t="s">
        <v>124</v>
      </c>
      <c r="CL153">
        <v>2</v>
      </c>
    </row>
    <row r="154" spans="1:90">
      <c r="A154" t="s">
        <v>348</v>
      </c>
      <c r="B154" t="s">
        <v>151</v>
      </c>
      <c r="C154" t="s">
        <v>152</v>
      </c>
      <c r="D154" t="s">
        <v>124</v>
      </c>
      <c r="E154" t="s">
        <v>153</v>
      </c>
      <c r="I154" t="s">
        <v>181</v>
      </c>
      <c r="J154" t="s">
        <v>181</v>
      </c>
      <c r="K154" t="s">
        <v>349</v>
      </c>
      <c r="L154">
        <v>2</v>
      </c>
      <c r="CA154" t="s">
        <v>390</v>
      </c>
      <c r="CB154" t="s">
        <v>160</v>
      </c>
      <c r="CC154" t="s">
        <v>117</v>
      </c>
      <c r="CD154" t="s">
        <v>124</v>
      </c>
      <c r="CL154">
        <v>2</v>
      </c>
    </row>
    <row r="155" spans="1:90">
      <c r="A155" t="s">
        <v>350</v>
      </c>
      <c r="B155" t="s">
        <v>151</v>
      </c>
      <c r="C155" t="s">
        <v>152</v>
      </c>
      <c r="D155" t="s">
        <v>124</v>
      </c>
      <c r="E155" t="s">
        <v>167</v>
      </c>
      <c r="L155">
        <v>2</v>
      </c>
      <c r="CA155" t="s">
        <v>391</v>
      </c>
      <c r="CB155" t="s">
        <v>160</v>
      </c>
      <c r="CC155" t="s">
        <v>117</v>
      </c>
      <c r="CD155" t="s">
        <v>124</v>
      </c>
      <c r="CL155">
        <v>2</v>
      </c>
    </row>
    <row r="156" spans="1:90">
      <c r="A156" t="s">
        <v>351</v>
      </c>
      <c r="B156" t="s">
        <v>175</v>
      </c>
      <c r="C156" t="s">
        <v>152</v>
      </c>
      <c r="D156" t="s">
        <v>124</v>
      </c>
      <c r="L156">
        <v>2</v>
      </c>
      <c r="CA156" t="s">
        <v>392</v>
      </c>
      <c r="CB156" t="s">
        <v>160</v>
      </c>
      <c r="CC156" t="s">
        <v>120</v>
      </c>
      <c r="CD156" t="s">
        <v>118</v>
      </c>
      <c r="CL156">
        <v>2</v>
      </c>
    </row>
    <row r="157" spans="1:90">
      <c r="A157" t="s">
        <v>352</v>
      </c>
      <c r="B157" t="s">
        <v>175</v>
      </c>
      <c r="C157" t="s">
        <v>152</v>
      </c>
      <c r="D157" t="s">
        <v>132</v>
      </c>
      <c r="L157">
        <v>2</v>
      </c>
      <c r="CA157" t="s">
        <v>393</v>
      </c>
      <c r="CB157" t="s">
        <v>160</v>
      </c>
      <c r="CC157" t="s">
        <v>120</v>
      </c>
      <c r="CD157" t="s">
        <v>124</v>
      </c>
      <c r="CL157">
        <v>2</v>
      </c>
    </row>
    <row r="158" spans="1:90">
      <c r="A158" t="s">
        <v>353</v>
      </c>
      <c r="B158" t="s">
        <v>175</v>
      </c>
      <c r="C158" t="s">
        <v>152</v>
      </c>
      <c r="D158" t="s">
        <v>118</v>
      </c>
      <c r="L158">
        <v>2</v>
      </c>
      <c r="CA158" t="s">
        <v>394</v>
      </c>
      <c r="CB158" t="s">
        <v>162</v>
      </c>
      <c r="CC158" t="s">
        <v>152</v>
      </c>
      <c r="CD158" t="s">
        <v>118</v>
      </c>
      <c r="CL158">
        <v>2</v>
      </c>
    </row>
    <row r="159" spans="1:90">
      <c r="A159" t="s">
        <v>354</v>
      </c>
      <c r="B159" t="s">
        <v>175</v>
      </c>
      <c r="C159" t="s">
        <v>149</v>
      </c>
      <c r="D159" t="s">
        <v>124</v>
      </c>
      <c r="L159">
        <v>2</v>
      </c>
      <c r="CA159" t="s">
        <v>395</v>
      </c>
      <c r="CB159" t="s">
        <v>162</v>
      </c>
      <c r="CC159" t="s">
        <v>152</v>
      </c>
      <c r="CD159" t="s">
        <v>124</v>
      </c>
      <c r="CL159">
        <v>2</v>
      </c>
    </row>
    <row r="160" spans="1:90">
      <c r="A160" t="s">
        <v>355</v>
      </c>
      <c r="B160" t="s">
        <v>175</v>
      </c>
      <c r="C160" t="s">
        <v>152</v>
      </c>
      <c r="D160" t="s">
        <v>124</v>
      </c>
      <c r="L160">
        <v>2</v>
      </c>
      <c r="CA160" t="s">
        <v>396</v>
      </c>
      <c r="CB160" t="s">
        <v>162</v>
      </c>
      <c r="CC160" t="s">
        <v>152</v>
      </c>
      <c r="CD160" t="s">
        <v>124</v>
      </c>
      <c r="CL160">
        <v>2</v>
      </c>
    </row>
    <row r="161" spans="1:90">
      <c r="A161" t="s">
        <v>356</v>
      </c>
      <c r="B161" t="s">
        <v>175</v>
      </c>
      <c r="C161" t="s">
        <v>152</v>
      </c>
      <c r="D161" t="s">
        <v>124</v>
      </c>
      <c r="L161">
        <v>2</v>
      </c>
      <c r="CA161" t="s">
        <v>397</v>
      </c>
      <c r="CB161" t="s">
        <v>162</v>
      </c>
      <c r="CC161" t="s">
        <v>152</v>
      </c>
      <c r="CD161" t="s">
        <v>118</v>
      </c>
      <c r="CL161">
        <v>2</v>
      </c>
    </row>
    <row r="162" spans="1:90">
      <c r="A162" t="s">
        <v>357</v>
      </c>
      <c r="B162" t="s">
        <v>175</v>
      </c>
      <c r="C162" t="s">
        <v>152</v>
      </c>
      <c r="D162" t="s">
        <v>124</v>
      </c>
      <c r="L162">
        <v>2</v>
      </c>
      <c r="CA162" t="s">
        <v>398</v>
      </c>
      <c r="CB162" t="s">
        <v>162</v>
      </c>
      <c r="CC162" t="s">
        <v>152</v>
      </c>
      <c r="CD162" t="s">
        <v>118</v>
      </c>
      <c r="CL162">
        <v>2</v>
      </c>
    </row>
    <row r="163" spans="1:90">
      <c r="A163" s="33" t="s">
        <v>358</v>
      </c>
      <c r="B163" s="33" t="s">
        <v>172</v>
      </c>
      <c r="C163" s="33" t="s">
        <v>152</v>
      </c>
      <c r="D163" s="33" t="s">
        <v>124</v>
      </c>
      <c r="E163" s="33"/>
      <c r="F163" s="33"/>
      <c r="G163" s="33"/>
      <c r="H163" s="33"/>
      <c r="L163">
        <v>2</v>
      </c>
      <c r="CA163" t="s">
        <v>399</v>
      </c>
      <c r="CB163" t="s">
        <v>162</v>
      </c>
      <c r="CC163" t="s">
        <v>149</v>
      </c>
      <c r="CD163" t="s">
        <v>118</v>
      </c>
      <c r="CL163">
        <v>2</v>
      </c>
    </row>
    <row r="164" spans="1:90">
      <c r="A164" s="33" t="s">
        <v>359</v>
      </c>
      <c r="B164" s="33" t="s">
        <v>172</v>
      </c>
      <c r="C164" s="33" t="s">
        <v>149</v>
      </c>
      <c r="D164" s="33" t="s">
        <v>118</v>
      </c>
      <c r="E164" s="33"/>
      <c r="F164" s="33"/>
      <c r="G164" s="33"/>
      <c r="H164" s="33"/>
      <c r="L164">
        <v>2</v>
      </c>
      <c r="CA164" t="s">
        <v>400</v>
      </c>
      <c r="CB164" t="s">
        <v>162</v>
      </c>
      <c r="CC164" t="s">
        <v>152</v>
      </c>
      <c r="CD164" t="s">
        <v>124</v>
      </c>
      <c r="CL164">
        <v>2</v>
      </c>
    </row>
    <row r="165" spans="1:90">
      <c r="A165" s="33" t="s">
        <v>360</v>
      </c>
      <c r="B165" s="33" t="s">
        <v>172</v>
      </c>
      <c r="C165" s="33" t="s">
        <v>152</v>
      </c>
      <c r="D165" s="33" t="s">
        <v>124</v>
      </c>
      <c r="E165" s="33"/>
      <c r="F165" s="33"/>
      <c r="G165" s="33"/>
      <c r="H165" s="33"/>
      <c r="L165">
        <v>2</v>
      </c>
      <c r="CA165" t="s">
        <v>401</v>
      </c>
      <c r="CB165" t="s">
        <v>162</v>
      </c>
      <c r="CC165" t="s">
        <v>149</v>
      </c>
      <c r="CD165" t="s">
        <v>124</v>
      </c>
      <c r="CL165">
        <v>2</v>
      </c>
    </row>
    <row r="166" spans="1:90">
      <c r="A166" t="s">
        <v>361</v>
      </c>
      <c r="B166" t="s">
        <v>175</v>
      </c>
      <c r="C166" t="s">
        <v>152</v>
      </c>
      <c r="D166" t="s">
        <v>118</v>
      </c>
      <c r="CA166" t="s">
        <v>402</v>
      </c>
      <c r="CB166" t="s">
        <v>162</v>
      </c>
      <c r="CC166" t="s">
        <v>152</v>
      </c>
      <c r="CD166" t="s">
        <v>118</v>
      </c>
      <c r="CL166">
        <v>2</v>
      </c>
    </row>
    <row r="167" spans="1:90">
      <c r="A167" t="s">
        <v>362</v>
      </c>
      <c r="B167" t="s">
        <v>160</v>
      </c>
      <c r="C167" t="s">
        <v>120</v>
      </c>
      <c r="D167" t="s">
        <v>118</v>
      </c>
      <c r="L167">
        <v>2</v>
      </c>
      <c r="CA167" t="s">
        <v>403</v>
      </c>
      <c r="CB167" t="s">
        <v>162</v>
      </c>
      <c r="CC167" t="s">
        <v>277</v>
      </c>
      <c r="CD167" t="s">
        <v>124</v>
      </c>
      <c r="CL167">
        <v>2</v>
      </c>
    </row>
    <row r="168" spans="1:90">
      <c r="A168" t="s">
        <v>363</v>
      </c>
      <c r="B168" t="s">
        <v>151</v>
      </c>
      <c r="C168" t="s">
        <v>152</v>
      </c>
      <c r="D168" t="s">
        <v>124</v>
      </c>
      <c r="L168">
        <v>2</v>
      </c>
      <c r="CA168" t="s">
        <v>404</v>
      </c>
      <c r="CB168" t="s">
        <v>162</v>
      </c>
      <c r="CC168" t="s">
        <v>152</v>
      </c>
      <c r="CD168" t="s">
        <v>124</v>
      </c>
      <c r="CL168">
        <v>2</v>
      </c>
    </row>
    <row r="169" spans="1:90">
      <c r="A169" t="s">
        <v>364</v>
      </c>
      <c r="B169" t="s">
        <v>151</v>
      </c>
      <c r="C169" t="s">
        <v>149</v>
      </c>
      <c r="D169" t="s">
        <v>124</v>
      </c>
      <c r="E169" t="s">
        <v>153</v>
      </c>
      <c r="I169" t="s">
        <v>189</v>
      </c>
      <c r="J169" t="s">
        <v>189</v>
      </c>
      <c r="K169" t="s">
        <v>157</v>
      </c>
      <c r="L169">
        <v>2</v>
      </c>
      <c r="CA169" t="s">
        <v>406</v>
      </c>
      <c r="CB169" t="s">
        <v>151</v>
      </c>
      <c r="CC169" t="s">
        <v>152</v>
      </c>
      <c r="CD169" t="s">
        <v>124</v>
      </c>
      <c r="CE169" t="s">
        <v>167</v>
      </c>
      <c r="CI169" t="s">
        <v>181</v>
      </c>
      <c r="CJ169" t="s">
        <v>156</v>
      </c>
      <c r="CK169" t="s">
        <v>306</v>
      </c>
      <c r="CL169">
        <v>2</v>
      </c>
    </row>
    <row r="170" spans="1:90">
      <c r="A170" t="s">
        <v>365</v>
      </c>
      <c r="B170" t="s">
        <v>116</v>
      </c>
      <c r="C170" t="s">
        <v>117</v>
      </c>
      <c r="D170" t="s">
        <v>118</v>
      </c>
      <c r="L170">
        <v>2</v>
      </c>
      <c r="CA170" t="s">
        <v>407</v>
      </c>
      <c r="CB170" t="s">
        <v>151</v>
      </c>
      <c r="CC170" t="s">
        <v>152</v>
      </c>
      <c r="CD170" t="s">
        <v>124</v>
      </c>
      <c r="CL170">
        <v>2</v>
      </c>
    </row>
    <row r="171" spans="1:90">
      <c r="A171" t="s">
        <v>366</v>
      </c>
      <c r="B171" t="s">
        <v>116</v>
      </c>
      <c r="C171" t="s">
        <v>117</v>
      </c>
      <c r="D171" t="s">
        <v>118</v>
      </c>
      <c r="L171">
        <v>2</v>
      </c>
      <c r="CA171" t="s">
        <v>408</v>
      </c>
      <c r="CB171" t="s">
        <v>151</v>
      </c>
      <c r="CC171" t="s">
        <v>152</v>
      </c>
      <c r="CD171" t="s">
        <v>124</v>
      </c>
      <c r="CE171" t="s">
        <v>167</v>
      </c>
      <c r="CI171" t="s">
        <v>168</v>
      </c>
      <c r="CJ171" t="s">
        <v>168</v>
      </c>
      <c r="CK171" t="s">
        <v>409</v>
      </c>
      <c r="CL171">
        <v>2</v>
      </c>
    </row>
    <row r="172" spans="1:90">
      <c r="A172" t="s">
        <v>367</v>
      </c>
      <c r="B172" t="s">
        <v>116</v>
      </c>
      <c r="C172" t="s">
        <v>117</v>
      </c>
      <c r="D172" t="s">
        <v>118</v>
      </c>
      <c r="F172" t="s">
        <v>163</v>
      </c>
      <c r="H172" t="s">
        <v>164</v>
      </c>
      <c r="L172">
        <v>2</v>
      </c>
      <c r="CA172" t="s">
        <v>412</v>
      </c>
      <c r="CB172" t="s">
        <v>151</v>
      </c>
      <c r="CC172" t="s">
        <v>152</v>
      </c>
      <c r="CD172" t="s">
        <v>124</v>
      </c>
      <c r="CL172">
        <v>2</v>
      </c>
    </row>
    <row r="173" spans="1:90">
      <c r="A173" t="s">
        <v>368</v>
      </c>
      <c r="B173" t="s">
        <v>116</v>
      </c>
      <c r="C173" t="s">
        <v>120</v>
      </c>
      <c r="D173" t="s">
        <v>118</v>
      </c>
      <c r="L173">
        <v>2</v>
      </c>
      <c r="CA173" t="s">
        <v>413</v>
      </c>
      <c r="CB173" t="s">
        <v>151</v>
      </c>
      <c r="CC173" t="s">
        <v>152</v>
      </c>
      <c r="CD173" t="s">
        <v>118</v>
      </c>
      <c r="CL173">
        <v>2</v>
      </c>
    </row>
    <row r="174" spans="1:90">
      <c r="A174" t="s">
        <v>369</v>
      </c>
      <c r="B174" t="s">
        <v>116</v>
      </c>
      <c r="C174" t="s">
        <v>152</v>
      </c>
      <c r="D174" t="s">
        <v>118</v>
      </c>
      <c r="F174" t="s">
        <v>370</v>
      </c>
      <c r="H174" t="s">
        <v>164</v>
      </c>
      <c r="L174">
        <v>2</v>
      </c>
      <c r="CA174" t="s">
        <v>414</v>
      </c>
      <c r="CB174" t="s">
        <v>151</v>
      </c>
      <c r="CC174" t="s">
        <v>149</v>
      </c>
      <c r="CD174" t="s">
        <v>124</v>
      </c>
      <c r="CE174" t="s">
        <v>167</v>
      </c>
      <c r="CI174" t="s">
        <v>156</v>
      </c>
      <c r="CJ174" t="s">
        <v>156</v>
      </c>
      <c r="CK174" t="s">
        <v>415</v>
      </c>
      <c r="CL174">
        <v>2</v>
      </c>
    </row>
    <row r="175" spans="1:90">
      <c r="A175" t="s">
        <v>371</v>
      </c>
      <c r="B175" t="s">
        <v>116</v>
      </c>
      <c r="C175" t="s">
        <v>152</v>
      </c>
      <c r="D175" t="s">
        <v>118</v>
      </c>
      <c r="F175" t="s">
        <v>370</v>
      </c>
      <c r="H175" t="s">
        <v>164</v>
      </c>
      <c r="L175">
        <v>2</v>
      </c>
      <c r="CA175" t="s">
        <v>417</v>
      </c>
      <c r="CB175" t="s">
        <v>151</v>
      </c>
      <c r="CC175" t="s">
        <v>152</v>
      </c>
      <c r="CD175" t="s">
        <v>124</v>
      </c>
      <c r="CE175" t="s">
        <v>167</v>
      </c>
      <c r="CI175" t="s">
        <v>418</v>
      </c>
      <c r="CJ175" t="s">
        <v>418</v>
      </c>
      <c r="CK175" t="s">
        <v>419</v>
      </c>
      <c r="CL175">
        <v>2</v>
      </c>
    </row>
    <row r="176" spans="1:90">
      <c r="A176" t="s">
        <v>372</v>
      </c>
      <c r="B176" t="s">
        <v>116</v>
      </c>
      <c r="C176" t="s">
        <v>149</v>
      </c>
      <c r="D176" t="s">
        <v>118</v>
      </c>
      <c r="L176">
        <v>2</v>
      </c>
      <c r="CA176" t="s">
        <v>399</v>
      </c>
      <c r="CB176" t="s">
        <v>151</v>
      </c>
      <c r="CC176" t="s">
        <v>277</v>
      </c>
      <c r="CD176" t="s">
        <v>143</v>
      </c>
      <c r="CE176" t="s">
        <v>167</v>
      </c>
      <c r="CI176" t="s">
        <v>186</v>
      </c>
      <c r="CJ176" t="s">
        <v>181</v>
      </c>
      <c r="CK176" t="s">
        <v>420</v>
      </c>
      <c r="CL176">
        <v>2</v>
      </c>
    </row>
    <row r="177" spans="1:90">
      <c r="A177" t="s">
        <v>298</v>
      </c>
      <c r="B177" t="s">
        <v>116</v>
      </c>
      <c r="C177" t="s">
        <v>149</v>
      </c>
      <c r="D177" t="s">
        <v>118</v>
      </c>
      <c r="L177">
        <v>2</v>
      </c>
      <c r="CA177" t="s">
        <v>423</v>
      </c>
      <c r="CB177" t="s">
        <v>151</v>
      </c>
      <c r="CC177" t="s">
        <v>152</v>
      </c>
      <c r="CD177" t="s">
        <v>124</v>
      </c>
      <c r="CE177" t="s">
        <v>167</v>
      </c>
      <c r="CI177" t="s">
        <v>168</v>
      </c>
      <c r="CJ177" t="s">
        <v>168</v>
      </c>
      <c r="CK177" t="s">
        <v>424</v>
      </c>
      <c r="CL177">
        <v>2</v>
      </c>
    </row>
    <row r="178" spans="1:90">
      <c r="A178" t="s">
        <v>373</v>
      </c>
      <c r="B178" t="s">
        <v>151</v>
      </c>
      <c r="C178" t="s">
        <v>152</v>
      </c>
      <c r="D178" t="s">
        <v>124</v>
      </c>
      <c r="J178" t="s">
        <v>186</v>
      </c>
      <c r="L178">
        <v>2</v>
      </c>
      <c r="CA178" t="s">
        <v>425</v>
      </c>
      <c r="CB178" t="s">
        <v>151</v>
      </c>
      <c r="CC178" t="s">
        <v>152</v>
      </c>
      <c r="CD178" t="s">
        <v>132</v>
      </c>
      <c r="CE178" t="s">
        <v>167</v>
      </c>
      <c r="CI178" t="s">
        <v>168</v>
      </c>
      <c r="CJ178" t="s">
        <v>168</v>
      </c>
      <c r="CK178" t="s">
        <v>192</v>
      </c>
      <c r="CL178">
        <v>2</v>
      </c>
    </row>
    <row r="179" spans="1:90">
      <c r="A179" t="s">
        <v>374</v>
      </c>
      <c r="B179" t="s">
        <v>151</v>
      </c>
      <c r="C179" t="s">
        <v>152</v>
      </c>
      <c r="D179" t="s">
        <v>118</v>
      </c>
      <c r="J179" t="s">
        <v>168</v>
      </c>
      <c r="K179" t="s">
        <v>375</v>
      </c>
      <c r="L179">
        <v>2</v>
      </c>
      <c r="CA179" t="s">
        <v>426</v>
      </c>
      <c r="CB179" t="s">
        <v>151</v>
      </c>
      <c r="CC179" t="s">
        <v>152</v>
      </c>
      <c r="CD179" t="s">
        <v>124</v>
      </c>
      <c r="CE179" t="s">
        <v>167</v>
      </c>
      <c r="CI179" t="s">
        <v>168</v>
      </c>
      <c r="CJ179" t="s">
        <v>168</v>
      </c>
      <c r="CK179" t="s">
        <v>222</v>
      </c>
      <c r="CL179">
        <v>2</v>
      </c>
    </row>
    <row r="180" spans="1:90">
      <c r="A180" t="s">
        <v>376</v>
      </c>
      <c r="B180" t="s">
        <v>151</v>
      </c>
      <c r="C180" t="s">
        <v>152</v>
      </c>
      <c r="D180" t="s">
        <v>118</v>
      </c>
      <c r="F180" t="s">
        <v>163</v>
      </c>
      <c r="H180" t="s">
        <v>164</v>
      </c>
      <c r="J180" t="s">
        <v>221</v>
      </c>
      <c r="K180" t="s">
        <v>377</v>
      </c>
      <c r="L180">
        <v>2</v>
      </c>
      <c r="CA180" t="s">
        <v>429</v>
      </c>
      <c r="CB180" t="s">
        <v>151</v>
      </c>
      <c r="CC180" t="s">
        <v>152</v>
      </c>
      <c r="CD180" t="s">
        <v>132</v>
      </c>
      <c r="CE180" t="s">
        <v>167</v>
      </c>
      <c r="CI180" t="s">
        <v>181</v>
      </c>
      <c r="CJ180" t="s">
        <v>181</v>
      </c>
      <c r="CK180" t="s">
        <v>192</v>
      </c>
      <c r="CL180">
        <v>2</v>
      </c>
    </row>
    <row r="181" spans="1:90">
      <c r="A181" t="s">
        <v>378</v>
      </c>
      <c r="B181" t="s">
        <v>151</v>
      </c>
      <c r="C181" t="s">
        <v>149</v>
      </c>
      <c r="D181" t="s">
        <v>118</v>
      </c>
      <c r="E181" t="s">
        <v>167</v>
      </c>
      <c r="J181" t="s">
        <v>181</v>
      </c>
      <c r="K181" t="s">
        <v>379</v>
      </c>
      <c r="L181">
        <v>2</v>
      </c>
      <c r="CA181" t="s">
        <v>430</v>
      </c>
      <c r="CB181" t="s">
        <v>175</v>
      </c>
      <c r="CC181" t="s">
        <v>152</v>
      </c>
      <c r="CD181" t="s">
        <v>124</v>
      </c>
      <c r="CL181">
        <v>2</v>
      </c>
    </row>
    <row r="182" spans="1:90">
      <c r="A182" t="s">
        <v>380</v>
      </c>
      <c r="B182" t="s">
        <v>151</v>
      </c>
      <c r="C182" t="s">
        <v>152</v>
      </c>
      <c r="D182" t="s">
        <v>118</v>
      </c>
      <c r="L182">
        <v>2</v>
      </c>
      <c r="CA182" t="s">
        <v>431</v>
      </c>
      <c r="CB182" t="s">
        <v>175</v>
      </c>
      <c r="CC182" t="s">
        <v>152</v>
      </c>
      <c r="CD182" t="s">
        <v>124</v>
      </c>
      <c r="CL182">
        <v>2</v>
      </c>
    </row>
    <row r="183" spans="1:90">
      <c r="A183" t="s">
        <v>381</v>
      </c>
      <c r="B183" t="s">
        <v>151</v>
      </c>
      <c r="C183" t="s">
        <v>152</v>
      </c>
      <c r="D183" t="s">
        <v>124</v>
      </c>
      <c r="E183" t="s">
        <v>295</v>
      </c>
      <c r="J183" t="s">
        <v>168</v>
      </c>
      <c r="K183" t="s">
        <v>382</v>
      </c>
      <c r="L183">
        <v>2</v>
      </c>
      <c r="CA183" t="s">
        <v>432</v>
      </c>
      <c r="CB183" t="s">
        <v>175</v>
      </c>
      <c r="CC183" t="s">
        <v>152</v>
      </c>
      <c r="CD183" t="s">
        <v>124</v>
      </c>
      <c r="CL183">
        <v>2</v>
      </c>
    </row>
    <row r="184" spans="1:90">
      <c r="A184" t="s">
        <v>383</v>
      </c>
      <c r="B184" t="s">
        <v>151</v>
      </c>
      <c r="C184" t="s">
        <v>152</v>
      </c>
      <c r="D184" t="s">
        <v>118</v>
      </c>
      <c r="E184" t="s">
        <v>167</v>
      </c>
      <c r="J184" t="s">
        <v>168</v>
      </c>
      <c r="K184" t="s">
        <v>384</v>
      </c>
      <c r="L184">
        <v>2</v>
      </c>
      <c r="CA184" t="s">
        <v>433</v>
      </c>
      <c r="CB184" t="s">
        <v>175</v>
      </c>
      <c r="CC184" t="s">
        <v>152</v>
      </c>
      <c r="CD184" t="s">
        <v>118</v>
      </c>
      <c r="CL184">
        <v>2</v>
      </c>
    </row>
    <row r="185" spans="1:90">
      <c r="A185" t="s">
        <v>385</v>
      </c>
      <c r="B185" t="s">
        <v>151</v>
      </c>
      <c r="C185" t="s">
        <v>152</v>
      </c>
      <c r="D185" t="s">
        <v>124</v>
      </c>
      <c r="E185" t="s">
        <v>167</v>
      </c>
      <c r="J185" t="s">
        <v>189</v>
      </c>
      <c r="K185" t="s">
        <v>386</v>
      </c>
      <c r="L185">
        <v>2</v>
      </c>
      <c r="CA185" t="s">
        <v>436</v>
      </c>
      <c r="CB185" t="s">
        <v>175</v>
      </c>
      <c r="CC185" t="s">
        <v>152</v>
      </c>
      <c r="CD185" t="s">
        <v>118</v>
      </c>
      <c r="CL185">
        <v>2</v>
      </c>
    </row>
    <row r="186" spans="1:90">
      <c r="A186" t="s">
        <v>387</v>
      </c>
      <c r="B186" t="s">
        <v>151</v>
      </c>
      <c r="C186" t="s">
        <v>149</v>
      </c>
      <c r="D186" t="s">
        <v>124</v>
      </c>
      <c r="L186">
        <v>2</v>
      </c>
      <c r="CA186" t="s">
        <v>437</v>
      </c>
      <c r="CB186" t="s">
        <v>175</v>
      </c>
      <c r="CC186" t="s">
        <v>152</v>
      </c>
      <c r="CD186" t="s">
        <v>124</v>
      </c>
      <c r="CL186">
        <v>2</v>
      </c>
    </row>
    <row r="187" spans="1:90">
      <c r="A187" t="s">
        <v>388</v>
      </c>
      <c r="B187" t="s">
        <v>160</v>
      </c>
      <c r="C187" t="s">
        <v>117</v>
      </c>
      <c r="D187" t="s">
        <v>118</v>
      </c>
      <c r="L187">
        <v>2</v>
      </c>
      <c r="CA187" t="s">
        <v>438</v>
      </c>
      <c r="CB187" t="s">
        <v>175</v>
      </c>
      <c r="CC187" t="s">
        <v>152</v>
      </c>
      <c r="CD187" t="s">
        <v>124</v>
      </c>
      <c r="CL187">
        <v>2</v>
      </c>
    </row>
    <row r="188" spans="1:90">
      <c r="A188" t="s">
        <v>389</v>
      </c>
      <c r="B188" t="s">
        <v>160</v>
      </c>
      <c r="C188" t="s">
        <v>117</v>
      </c>
      <c r="D188" t="s">
        <v>124</v>
      </c>
      <c r="L188">
        <v>2</v>
      </c>
      <c r="CA188" t="s">
        <v>439</v>
      </c>
      <c r="CB188" t="s">
        <v>175</v>
      </c>
      <c r="CC188" t="s">
        <v>152</v>
      </c>
      <c r="CD188" t="s">
        <v>118</v>
      </c>
      <c r="CJ188" t="s">
        <v>168</v>
      </c>
      <c r="CK188" t="s">
        <v>440</v>
      </c>
      <c r="CL188">
        <v>2</v>
      </c>
    </row>
    <row r="189" spans="1:90">
      <c r="A189" t="s">
        <v>390</v>
      </c>
      <c r="B189" t="s">
        <v>160</v>
      </c>
      <c r="C189" t="s">
        <v>117</v>
      </c>
      <c r="D189" t="s">
        <v>124</v>
      </c>
      <c r="L189">
        <v>2</v>
      </c>
      <c r="CA189" s="33" t="s">
        <v>441</v>
      </c>
      <c r="CB189" s="33" t="s">
        <v>172</v>
      </c>
      <c r="CC189" s="33" t="s">
        <v>152</v>
      </c>
      <c r="CD189" s="33" t="s">
        <v>132</v>
      </c>
      <c r="CE189" s="33" t="s">
        <v>167</v>
      </c>
      <c r="CF189" s="33"/>
      <c r="CG189" s="33"/>
      <c r="CH189" s="33"/>
      <c r="CI189" t="s">
        <v>181</v>
      </c>
      <c r="CJ189" t="s">
        <v>181</v>
      </c>
      <c r="CK189" t="s">
        <v>442</v>
      </c>
      <c r="CL189">
        <v>2</v>
      </c>
    </row>
    <row r="190" spans="1:90">
      <c r="A190" t="s">
        <v>391</v>
      </c>
      <c r="B190" t="s">
        <v>160</v>
      </c>
      <c r="C190" t="s">
        <v>117</v>
      </c>
      <c r="D190" t="s">
        <v>124</v>
      </c>
      <c r="L190">
        <v>2</v>
      </c>
      <c r="CA190" s="33" t="s">
        <v>443</v>
      </c>
      <c r="CB190" s="33" t="s">
        <v>172</v>
      </c>
      <c r="CC190" s="33" t="s">
        <v>152</v>
      </c>
      <c r="CD190" s="33" t="s">
        <v>124</v>
      </c>
      <c r="CE190" s="33" t="s">
        <v>167</v>
      </c>
      <c r="CF190" s="33"/>
      <c r="CG190" s="33"/>
      <c r="CH190" s="33"/>
      <c r="CI190" t="s">
        <v>156</v>
      </c>
      <c r="CJ190" t="s">
        <v>156</v>
      </c>
      <c r="CK190" t="s">
        <v>444</v>
      </c>
      <c r="CL190">
        <v>2</v>
      </c>
    </row>
    <row r="191" spans="1:90">
      <c r="A191" t="s">
        <v>392</v>
      </c>
      <c r="B191" t="s">
        <v>160</v>
      </c>
      <c r="C191" t="s">
        <v>120</v>
      </c>
      <c r="D191" t="s">
        <v>118</v>
      </c>
      <c r="L191">
        <v>2</v>
      </c>
      <c r="CA191" s="33" t="s">
        <v>445</v>
      </c>
      <c r="CB191" s="33" t="s">
        <v>172</v>
      </c>
      <c r="CC191" s="33" t="s">
        <v>152</v>
      </c>
      <c r="CD191" s="33" t="s">
        <v>118</v>
      </c>
      <c r="CE191" s="33"/>
      <c r="CF191" s="33"/>
      <c r="CG191" s="33"/>
      <c r="CH191" s="33"/>
      <c r="CL191">
        <v>2</v>
      </c>
    </row>
    <row r="192" spans="1:90">
      <c r="A192" t="s">
        <v>393</v>
      </c>
      <c r="B192" t="s">
        <v>160</v>
      </c>
      <c r="C192" t="s">
        <v>120</v>
      </c>
      <c r="D192" t="s">
        <v>124</v>
      </c>
      <c r="L192">
        <v>2</v>
      </c>
      <c r="CA192" s="33" t="s">
        <v>446</v>
      </c>
      <c r="CB192" s="33" t="s">
        <v>172</v>
      </c>
      <c r="CC192" s="33" t="s">
        <v>149</v>
      </c>
      <c r="CD192" s="33" t="s">
        <v>124</v>
      </c>
      <c r="CE192" s="33" t="s">
        <v>167</v>
      </c>
      <c r="CF192" s="33"/>
      <c r="CG192" s="33"/>
      <c r="CH192" s="33"/>
      <c r="CI192" t="s">
        <v>181</v>
      </c>
      <c r="CJ192" t="s">
        <v>181</v>
      </c>
      <c r="CK192" t="s">
        <v>447</v>
      </c>
      <c r="CL192">
        <v>2</v>
      </c>
    </row>
    <row r="193" spans="1:90">
      <c r="A193" t="s">
        <v>394</v>
      </c>
      <c r="B193" t="s">
        <v>162</v>
      </c>
      <c r="C193" t="s">
        <v>152</v>
      </c>
      <c r="D193" t="s">
        <v>118</v>
      </c>
      <c r="L193">
        <v>2</v>
      </c>
      <c r="CA193" t="s">
        <v>448</v>
      </c>
      <c r="CB193" t="s">
        <v>279</v>
      </c>
      <c r="CC193" t="s">
        <v>152</v>
      </c>
      <c r="CD193" t="s">
        <v>124</v>
      </c>
      <c r="CL193">
        <v>2</v>
      </c>
    </row>
    <row r="194" spans="1:90">
      <c r="A194" t="s">
        <v>395</v>
      </c>
      <c r="B194" t="s">
        <v>162</v>
      </c>
      <c r="C194" t="s">
        <v>152</v>
      </c>
      <c r="D194" t="s">
        <v>124</v>
      </c>
      <c r="L194">
        <v>2</v>
      </c>
      <c r="CA194" t="s">
        <v>449</v>
      </c>
      <c r="CB194" t="s">
        <v>279</v>
      </c>
      <c r="CC194" t="s">
        <v>152</v>
      </c>
      <c r="CD194" t="s">
        <v>124</v>
      </c>
      <c r="CL194">
        <v>2</v>
      </c>
    </row>
    <row r="195" spans="1:90">
      <c r="A195" t="s">
        <v>396</v>
      </c>
      <c r="B195" t="s">
        <v>162</v>
      </c>
      <c r="C195" t="s">
        <v>152</v>
      </c>
      <c r="D195" t="s">
        <v>124</v>
      </c>
      <c r="L195">
        <v>2</v>
      </c>
      <c r="CA195" t="s">
        <v>450</v>
      </c>
      <c r="CB195" t="s">
        <v>279</v>
      </c>
      <c r="CC195" t="s">
        <v>152</v>
      </c>
      <c r="CD195" t="s">
        <v>124</v>
      </c>
      <c r="CL195">
        <v>2</v>
      </c>
    </row>
    <row r="196" spans="1:90">
      <c r="A196" t="s">
        <v>397</v>
      </c>
      <c r="B196" t="s">
        <v>162</v>
      </c>
      <c r="C196" t="s">
        <v>152</v>
      </c>
      <c r="D196" t="s">
        <v>118</v>
      </c>
      <c r="L196">
        <v>2</v>
      </c>
      <c r="CA196" t="s">
        <v>451</v>
      </c>
      <c r="CB196" t="s">
        <v>279</v>
      </c>
      <c r="CC196" t="s">
        <v>152</v>
      </c>
      <c r="CD196" t="s">
        <v>118</v>
      </c>
      <c r="CL196">
        <v>2</v>
      </c>
    </row>
    <row r="197" spans="1:90">
      <c r="A197" t="s">
        <v>398</v>
      </c>
      <c r="B197" t="s">
        <v>162</v>
      </c>
      <c r="C197" t="s">
        <v>152</v>
      </c>
      <c r="D197" t="s">
        <v>118</v>
      </c>
      <c r="L197">
        <v>2</v>
      </c>
      <c r="CA197" t="s">
        <v>452</v>
      </c>
      <c r="CB197" t="s">
        <v>279</v>
      </c>
      <c r="CC197" t="s">
        <v>152</v>
      </c>
      <c r="CD197" t="s">
        <v>118</v>
      </c>
      <c r="CL197">
        <v>2</v>
      </c>
    </row>
    <row r="198" spans="1:90">
      <c r="A198" t="s">
        <v>399</v>
      </c>
      <c r="B198" t="s">
        <v>162</v>
      </c>
      <c r="C198" t="s">
        <v>149</v>
      </c>
      <c r="D198" t="s">
        <v>118</v>
      </c>
      <c r="L198">
        <v>2</v>
      </c>
      <c r="CA198" t="s">
        <v>453</v>
      </c>
      <c r="CB198" t="s">
        <v>279</v>
      </c>
      <c r="CC198" t="s">
        <v>152</v>
      </c>
      <c r="CD198" t="s">
        <v>118</v>
      </c>
      <c r="CL198">
        <v>2</v>
      </c>
    </row>
    <row r="199" spans="1:90">
      <c r="A199" t="s">
        <v>400</v>
      </c>
      <c r="B199" t="s">
        <v>162</v>
      </c>
      <c r="C199" t="s">
        <v>152</v>
      </c>
      <c r="D199" t="s">
        <v>124</v>
      </c>
      <c r="L199">
        <v>2</v>
      </c>
      <c r="CA199" t="s">
        <v>454</v>
      </c>
      <c r="CB199" t="s">
        <v>279</v>
      </c>
      <c r="CC199" t="s">
        <v>152</v>
      </c>
      <c r="CD199" t="s">
        <v>118</v>
      </c>
      <c r="CL199">
        <v>2</v>
      </c>
    </row>
    <row r="200" spans="1:90">
      <c r="A200" t="s">
        <v>401</v>
      </c>
      <c r="B200" t="s">
        <v>162</v>
      </c>
      <c r="C200" t="s">
        <v>149</v>
      </c>
      <c r="D200" t="s">
        <v>124</v>
      </c>
      <c r="L200">
        <v>2</v>
      </c>
      <c r="CA200" t="s">
        <v>455</v>
      </c>
      <c r="CB200" t="s">
        <v>279</v>
      </c>
      <c r="CC200" t="s">
        <v>152</v>
      </c>
      <c r="CD200" t="s">
        <v>118</v>
      </c>
      <c r="CL200">
        <v>2</v>
      </c>
    </row>
    <row r="201" spans="1:90">
      <c r="A201" t="s">
        <v>402</v>
      </c>
      <c r="B201" t="s">
        <v>162</v>
      </c>
      <c r="C201" t="s">
        <v>152</v>
      </c>
      <c r="D201" t="s">
        <v>118</v>
      </c>
      <c r="L201">
        <v>2</v>
      </c>
      <c r="CA201" t="s">
        <v>456</v>
      </c>
      <c r="CB201" t="s">
        <v>279</v>
      </c>
      <c r="CC201" t="s">
        <v>152</v>
      </c>
      <c r="CD201" t="s">
        <v>118</v>
      </c>
      <c r="CL201">
        <v>2</v>
      </c>
    </row>
    <row r="202" spans="1:90">
      <c r="A202" t="s">
        <v>403</v>
      </c>
      <c r="B202" t="s">
        <v>162</v>
      </c>
      <c r="C202" t="s">
        <v>277</v>
      </c>
      <c r="D202" t="s">
        <v>124</v>
      </c>
      <c r="L202">
        <v>2</v>
      </c>
      <c r="CA202" t="s">
        <v>457</v>
      </c>
      <c r="CB202" t="s">
        <v>279</v>
      </c>
      <c r="CC202" t="s">
        <v>152</v>
      </c>
      <c r="CD202" t="s">
        <v>118</v>
      </c>
      <c r="CL202">
        <v>2</v>
      </c>
    </row>
    <row r="203" spans="1:90">
      <c r="A203" t="s">
        <v>404</v>
      </c>
      <c r="B203" t="s">
        <v>162</v>
      </c>
      <c r="C203" t="s">
        <v>152</v>
      </c>
      <c r="D203" t="s">
        <v>124</v>
      </c>
      <c r="L203">
        <v>2</v>
      </c>
      <c r="CA203" t="s">
        <v>458</v>
      </c>
      <c r="CB203" t="s">
        <v>279</v>
      </c>
      <c r="CC203" t="s">
        <v>152</v>
      </c>
      <c r="CD203" t="s">
        <v>118</v>
      </c>
      <c r="CL203">
        <v>2</v>
      </c>
    </row>
    <row r="204" spans="1:90">
      <c r="A204" t="s">
        <v>405</v>
      </c>
      <c r="B204" t="s">
        <v>151</v>
      </c>
      <c r="C204" t="s">
        <v>149</v>
      </c>
      <c r="D204" t="s">
        <v>124</v>
      </c>
      <c r="E204" t="s">
        <v>153</v>
      </c>
      <c r="I204" t="s">
        <v>189</v>
      </c>
      <c r="J204" t="s">
        <v>189</v>
      </c>
      <c r="K204" t="s">
        <v>233</v>
      </c>
      <c r="L204">
        <v>2</v>
      </c>
      <c r="CA204" t="s">
        <v>459</v>
      </c>
      <c r="CB204" t="s">
        <v>215</v>
      </c>
      <c r="CC204" t="s">
        <v>152</v>
      </c>
      <c r="CD204" t="s">
        <v>118</v>
      </c>
      <c r="CL204">
        <v>2</v>
      </c>
    </row>
    <row r="205" spans="1:90">
      <c r="A205" t="s">
        <v>406</v>
      </c>
      <c r="B205" t="s">
        <v>151</v>
      </c>
      <c r="C205" t="s">
        <v>152</v>
      </c>
      <c r="D205" t="s">
        <v>124</v>
      </c>
      <c r="E205" t="s">
        <v>167</v>
      </c>
      <c r="I205" t="s">
        <v>181</v>
      </c>
      <c r="J205" t="s">
        <v>156</v>
      </c>
      <c r="K205" t="s">
        <v>306</v>
      </c>
      <c r="L205">
        <v>2</v>
      </c>
      <c r="CA205" t="s">
        <v>460</v>
      </c>
      <c r="CB205" t="s">
        <v>175</v>
      </c>
      <c r="CC205" t="s">
        <v>152</v>
      </c>
      <c r="CD205" t="s">
        <v>124</v>
      </c>
    </row>
    <row r="206" spans="1:90">
      <c r="A206" t="s">
        <v>407</v>
      </c>
      <c r="B206" t="s">
        <v>151</v>
      </c>
      <c r="C206" t="s">
        <v>152</v>
      </c>
      <c r="D206" t="s">
        <v>124</v>
      </c>
      <c r="L206">
        <v>2</v>
      </c>
      <c r="CA206" t="s">
        <v>461</v>
      </c>
      <c r="CB206" t="s">
        <v>151</v>
      </c>
      <c r="CC206" t="s">
        <v>152</v>
      </c>
      <c r="CD206" t="s">
        <v>118</v>
      </c>
      <c r="CL206">
        <v>2</v>
      </c>
    </row>
    <row r="207" spans="1:90">
      <c r="A207" t="s">
        <v>408</v>
      </c>
      <c r="B207" t="s">
        <v>151</v>
      </c>
      <c r="C207" t="s">
        <v>152</v>
      </c>
      <c r="D207" t="s">
        <v>124</v>
      </c>
      <c r="E207" t="s">
        <v>167</v>
      </c>
      <c r="I207" t="s">
        <v>168</v>
      </c>
      <c r="J207" t="s">
        <v>168</v>
      </c>
      <c r="K207" t="s">
        <v>409</v>
      </c>
      <c r="L207">
        <v>2</v>
      </c>
      <c r="CA207" t="s">
        <v>465</v>
      </c>
      <c r="CB207" t="s">
        <v>151</v>
      </c>
      <c r="CC207" t="s">
        <v>149</v>
      </c>
      <c r="CD207" t="s">
        <v>124</v>
      </c>
      <c r="CF207" t="s">
        <v>163</v>
      </c>
      <c r="CH207" t="s">
        <v>164</v>
      </c>
      <c r="CL207">
        <v>2</v>
      </c>
    </row>
    <row r="208" spans="1:90">
      <c r="A208" t="s">
        <v>410</v>
      </c>
      <c r="B208" t="s">
        <v>151</v>
      </c>
      <c r="C208" t="s">
        <v>152</v>
      </c>
      <c r="D208" t="s">
        <v>132</v>
      </c>
      <c r="E208" t="s">
        <v>153</v>
      </c>
      <c r="I208" t="s">
        <v>181</v>
      </c>
      <c r="J208" t="s">
        <v>181</v>
      </c>
      <c r="K208" t="s">
        <v>187</v>
      </c>
      <c r="L208">
        <v>2</v>
      </c>
      <c r="CA208" t="s">
        <v>467</v>
      </c>
      <c r="CB208" t="s">
        <v>151</v>
      </c>
      <c r="CC208" t="s">
        <v>149</v>
      </c>
      <c r="CD208" t="s">
        <v>124</v>
      </c>
      <c r="CE208" t="s">
        <v>167</v>
      </c>
      <c r="CI208" t="s">
        <v>181</v>
      </c>
      <c r="CJ208" t="s">
        <v>181</v>
      </c>
      <c r="CK208" t="s">
        <v>468</v>
      </c>
      <c r="CL208">
        <v>2</v>
      </c>
    </row>
    <row r="209" spans="1:90">
      <c r="A209" t="s">
        <v>411</v>
      </c>
      <c r="B209" t="s">
        <v>151</v>
      </c>
      <c r="C209" t="s">
        <v>152</v>
      </c>
      <c r="D209" t="s">
        <v>118</v>
      </c>
      <c r="E209" t="s">
        <v>153</v>
      </c>
      <c r="I209" t="s">
        <v>189</v>
      </c>
      <c r="J209" t="s">
        <v>189</v>
      </c>
      <c r="K209" t="s">
        <v>207</v>
      </c>
      <c r="L209">
        <v>2</v>
      </c>
      <c r="CA209" t="s">
        <v>470</v>
      </c>
      <c r="CB209" t="s">
        <v>116</v>
      </c>
      <c r="CC209" t="s">
        <v>149</v>
      </c>
      <c r="CD209" t="s">
        <v>118</v>
      </c>
      <c r="CL209">
        <v>2</v>
      </c>
    </row>
    <row r="210" spans="1:90">
      <c r="A210" t="s">
        <v>412</v>
      </c>
      <c r="B210" t="s">
        <v>151</v>
      </c>
      <c r="C210" t="s">
        <v>152</v>
      </c>
      <c r="D210" t="s">
        <v>124</v>
      </c>
      <c r="L210">
        <v>2</v>
      </c>
      <c r="CA210" t="s">
        <v>471</v>
      </c>
      <c r="CB210" t="s">
        <v>151</v>
      </c>
      <c r="CC210" t="s">
        <v>149</v>
      </c>
      <c r="CD210" t="s">
        <v>124</v>
      </c>
      <c r="CE210" t="s">
        <v>167</v>
      </c>
      <c r="CI210" t="s">
        <v>186</v>
      </c>
      <c r="CJ210" t="s">
        <v>186</v>
      </c>
      <c r="CK210" t="s">
        <v>306</v>
      </c>
      <c r="CL210">
        <v>2</v>
      </c>
    </row>
    <row r="211" spans="1:90">
      <c r="A211" t="s">
        <v>413</v>
      </c>
      <c r="B211" t="s">
        <v>151</v>
      </c>
      <c r="C211" t="s">
        <v>152</v>
      </c>
      <c r="D211" t="s">
        <v>118</v>
      </c>
      <c r="L211">
        <v>2</v>
      </c>
      <c r="CA211" t="s">
        <v>472</v>
      </c>
      <c r="CB211" t="s">
        <v>162</v>
      </c>
      <c r="CC211" t="s">
        <v>277</v>
      </c>
      <c r="CD211" t="s">
        <v>124</v>
      </c>
      <c r="CL211">
        <v>2</v>
      </c>
    </row>
    <row r="212" spans="1:90">
      <c r="A212" t="s">
        <v>414</v>
      </c>
      <c r="B212" t="s">
        <v>151</v>
      </c>
      <c r="C212" t="s">
        <v>149</v>
      </c>
      <c r="D212" t="s">
        <v>124</v>
      </c>
      <c r="E212" t="s">
        <v>167</v>
      </c>
      <c r="I212" t="s">
        <v>156</v>
      </c>
      <c r="J212" t="s">
        <v>156</v>
      </c>
      <c r="K212" t="s">
        <v>415</v>
      </c>
      <c r="L212">
        <v>2</v>
      </c>
      <c r="CA212" t="s">
        <v>473</v>
      </c>
      <c r="CB212" t="s">
        <v>175</v>
      </c>
      <c r="CC212" t="s">
        <v>277</v>
      </c>
      <c r="CD212" t="s">
        <v>132</v>
      </c>
      <c r="CL212">
        <v>2</v>
      </c>
    </row>
    <row r="213" spans="1:90">
      <c r="A213" t="s">
        <v>416</v>
      </c>
      <c r="B213" t="s">
        <v>151</v>
      </c>
      <c r="C213" t="s">
        <v>149</v>
      </c>
      <c r="D213" t="s">
        <v>118</v>
      </c>
      <c r="E213" t="s">
        <v>153</v>
      </c>
      <c r="I213" t="s">
        <v>186</v>
      </c>
      <c r="J213" t="s">
        <v>181</v>
      </c>
      <c r="K213" t="s">
        <v>207</v>
      </c>
      <c r="L213">
        <v>2</v>
      </c>
      <c r="CA213" s="33" t="s">
        <v>474</v>
      </c>
      <c r="CB213" s="33" t="s">
        <v>172</v>
      </c>
      <c r="CC213" s="33" t="s">
        <v>149</v>
      </c>
      <c r="CD213" s="33" t="s">
        <v>118</v>
      </c>
      <c r="CE213" s="33"/>
      <c r="CF213" s="33"/>
      <c r="CG213" s="33"/>
      <c r="CH213" s="33"/>
      <c r="CL213">
        <v>2</v>
      </c>
    </row>
    <row r="214" spans="1:90">
      <c r="A214" t="s">
        <v>417</v>
      </c>
      <c r="B214" t="s">
        <v>151</v>
      </c>
      <c r="C214" t="s">
        <v>152</v>
      </c>
      <c r="D214" t="s">
        <v>124</v>
      </c>
      <c r="E214" t="s">
        <v>167</v>
      </c>
      <c r="I214" t="s">
        <v>418</v>
      </c>
      <c r="J214" t="s">
        <v>418</v>
      </c>
      <c r="K214" t="s">
        <v>419</v>
      </c>
      <c r="L214">
        <v>2</v>
      </c>
      <c r="CA214" t="s">
        <v>475</v>
      </c>
      <c r="CB214" t="s">
        <v>279</v>
      </c>
      <c r="CC214" t="s">
        <v>216</v>
      </c>
      <c r="CD214" t="s">
        <v>118</v>
      </c>
      <c r="CL214">
        <v>2</v>
      </c>
    </row>
    <row r="215" spans="1:90">
      <c r="A215" t="s">
        <v>399</v>
      </c>
      <c r="B215" t="s">
        <v>151</v>
      </c>
      <c r="C215" t="s">
        <v>277</v>
      </c>
      <c r="D215" t="s">
        <v>143</v>
      </c>
      <c r="E215" t="s">
        <v>167</v>
      </c>
      <c r="I215" t="s">
        <v>186</v>
      </c>
      <c r="J215" t="s">
        <v>181</v>
      </c>
      <c r="K215" t="s">
        <v>420</v>
      </c>
      <c r="L215">
        <v>2</v>
      </c>
      <c r="CA215" t="s">
        <v>476</v>
      </c>
      <c r="CB215" t="s">
        <v>175</v>
      </c>
      <c r="CC215" t="s">
        <v>149</v>
      </c>
      <c r="CD215" t="s">
        <v>118</v>
      </c>
      <c r="CL215">
        <v>2</v>
      </c>
    </row>
    <row r="216" spans="1:90">
      <c r="A216" t="s">
        <v>421</v>
      </c>
      <c r="B216" t="s">
        <v>151</v>
      </c>
      <c r="C216" t="s">
        <v>152</v>
      </c>
      <c r="D216" t="s">
        <v>124</v>
      </c>
      <c r="E216" t="s">
        <v>295</v>
      </c>
      <c r="I216" t="s">
        <v>189</v>
      </c>
      <c r="J216" t="s">
        <v>168</v>
      </c>
      <c r="K216" t="s">
        <v>422</v>
      </c>
      <c r="L216">
        <v>2</v>
      </c>
      <c r="CA216" t="s">
        <v>477</v>
      </c>
      <c r="CB216" t="s">
        <v>116</v>
      </c>
      <c r="CC216" t="s">
        <v>152</v>
      </c>
      <c r="CD216" t="s">
        <v>118</v>
      </c>
      <c r="CL216">
        <v>2</v>
      </c>
    </row>
    <row r="217" spans="1:90">
      <c r="A217" t="s">
        <v>423</v>
      </c>
      <c r="B217" t="s">
        <v>151</v>
      </c>
      <c r="C217" t="s">
        <v>152</v>
      </c>
      <c r="D217" t="s">
        <v>124</v>
      </c>
      <c r="E217" t="s">
        <v>167</v>
      </c>
      <c r="I217" t="s">
        <v>168</v>
      </c>
      <c r="J217" t="s">
        <v>168</v>
      </c>
      <c r="K217" t="s">
        <v>424</v>
      </c>
      <c r="L217">
        <v>2</v>
      </c>
      <c r="CA217" t="s">
        <v>478</v>
      </c>
      <c r="CB217" t="s">
        <v>116</v>
      </c>
      <c r="CC217" t="s">
        <v>152</v>
      </c>
      <c r="CD217" t="s">
        <v>124</v>
      </c>
      <c r="CL217">
        <v>2</v>
      </c>
    </row>
    <row r="218" spans="1:90">
      <c r="A218" t="s">
        <v>425</v>
      </c>
      <c r="B218" t="s">
        <v>151</v>
      </c>
      <c r="C218" t="s">
        <v>152</v>
      </c>
      <c r="D218" t="s">
        <v>132</v>
      </c>
      <c r="E218" t="s">
        <v>167</v>
      </c>
      <c r="I218" t="s">
        <v>168</v>
      </c>
      <c r="J218" t="s">
        <v>168</v>
      </c>
      <c r="K218" t="s">
        <v>192</v>
      </c>
      <c r="L218">
        <v>2</v>
      </c>
      <c r="CA218" t="s">
        <v>479</v>
      </c>
      <c r="CB218" t="s">
        <v>116</v>
      </c>
      <c r="CC218" t="s">
        <v>216</v>
      </c>
      <c r="CD218" t="s">
        <v>132</v>
      </c>
      <c r="CL218">
        <v>2</v>
      </c>
    </row>
    <row r="219" spans="1:90">
      <c r="A219" t="s">
        <v>426</v>
      </c>
      <c r="B219" t="s">
        <v>151</v>
      </c>
      <c r="C219" t="s">
        <v>152</v>
      </c>
      <c r="D219" t="s">
        <v>124</v>
      </c>
      <c r="E219" t="s">
        <v>167</v>
      </c>
      <c r="I219" t="s">
        <v>168</v>
      </c>
      <c r="J219" t="s">
        <v>168</v>
      </c>
      <c r="K219" t="s">
        <v>222</v>
      </c>
      <c r="L219">
        <v>2</v>
      </c>
      <c r="CA219" t="s">
        <v>480</v>
      </c>
      <c r="CB219" t="s">
        <v>116</v>
      </c>
      <c r="CC219" t="s">
        <v>152</v>
      </c>
      <c r="CD219" t="s">
        <v>118</v>
      </c>
      <c r="CI219" t="s">
        <v>186</v>
      </c>
      <c r="CJ219" t="s">
        <v>186</v>
      </c>
      <c r="CK219" t="s">
        <v>481</v>
      </c>
      <c r="CL219">
        <v>2</v>
      </c>
    </row>
    <row r="220" spans="1:90">
      <c r="A220" t="s">
        <v>427</v>
      </c>
      <c r="B220" t="s">
        <v>151</v>
      </c>
      <c r="C220" t="s">
        <v>152</v>
      </c>
      <c r="D220" t="s">
        <v>132</v>
      </c>
      <c r="E220" t="s">
        <v>153</v>
      </c>
      <c r="I220" t="s">
        <v>221</v>
      </c>
      <c r="J220" t="s">
        <v>181</v>
      </c>
      <c r="K220" t="s">
        <v>428</v>
      </c>
      <c r="L220">
        <v>2</v>
      </c>
      <c r="CA220" t="s">
        <v>482</v>
      </c>
      <c r="CB220" t="s">
        <v>151</v>
      </c>
      <c r="CC220" t="s">
        <v>152</v>
      </c>
      <c r="CD220" t="s">
        <v>118</v>
      </c>
      <c r="CL220">
        <v>2</v>
      </c>
    </row>
    <row r="221" spans="1:90">
      <c r="A221" t="s">
        <v>429</v>
      </c>
      <c r="B221" t="s">
        <v>151</v>
      </c>
      <c r="C221" t="s">
        <v>152</v>
      </c>
      <c r="D221" t="s">
        <v>132</v>
      </c>
      <c r="E221" t="s">
        <v>167</v>
      </c>
      <c r="I221" t="s">
        <v>181</v>
      </c>
      <c r="J221" t="s">
        <v>181</v>
      </c>
      <c r="K221" t="s">
        <v>192</v>
      </c>
      <c r="L221">
        <v>2</v>
      </c>
      <c r="CA221" t="s">
        <v>483</v>
      </c>
      <c r="CB221" t="s">
        <v>151</v>
      </c>
      <c r="CC221" t="s">
        <v>152</v>
      </c>
      <c r="CD221" t="s">
        <v>118</v>
      </c>
      <c r="CF221" t="s">
        <v>163</v>
      </c>
      <c r="CH221" t="s">
        <v>164</v>
      </c>
      <c r="CI221" t="s">
        <v>186</v>
      </c>
      <c r="CJ221" t="s">
        <v>186</v>
      </c>
      <c r="CK221" t="s">
        <v>484</v>
      </c>
      <c r="CL221">
        <v>2</v>
      </c>
    </row>
    <row r="222" spans="1:90">
      <c r="A222" t="s">
        <v>430</v>
      </c>
      <c r="B222" t="s">
        <v>175</v>
      </c>
      <c r="C222" t="s">
        <v>152</v>
      </c>
      <c r="D222" t="s">
        <v>124</v>
      </c>
      <c r="L222">
        <v>2</v>
      </c>
      <c r="CA222" t="s">
        <v>485</v>
      </c>
      <c r="CB222" t="s">
        <v>151</v>
      </c>
      <c r="CC222" t="s">
        <v>152</v>
      </c>
      <c r="CD222" t="s">
        <v>118</v>
      </c>
      <c r="CK222" t="s">
        <v>486</v>
      </c>
      <c r="CL222">
        <v>2</v>
      </c>
    </row>
    <row r="223" spans="1:90">
      <c r="A223" t="s">
        <v>431</v>
      </c>
      <c r="B223" t="s">
        <v>175</v>
      </c>
      <c r="C223" t="s">
        <v>152</v>
      </c>
      <c r="D223" t="s">
        <v>124</v>
      </c>
      <c r="L223">
        <v>2</v>
      </c>
      <c r="CA223" t="s">
        <v>487</v>
      </c>
      <c r="CB223" t="s">
        <v>151</v>
      </c>
      <c r="CC223" t="s">
        <v>149</v>
      </c>
      <c r="CD223" t="s">
        <v>124</v>
      </c>
      <c r="CJ223" t="s">
        <v>168</v>
      </c>
      <c r="CK223" t="s">
        <v>488</v>
      </c>
      <c r="CL223">
        <v>2</v>
      </c>
    </row>
    <row r="224" spans="1:90">
      <c r="A224" t="s">
        <v>432</v>
      </c>
      <c r="B224" t="s">
        <v>175</v>
      </c>
      <c r="C224" t="s">
        <v>152</v>
      </c>
      <c r="D224" t="s">
        <v>124</v>
      </c>
      <c r="L224">
        <v>2</v>
      </c>
      <c r="CA224" t="s">
        <v>489</v>
      </c>
      <c r="CB224" t="s">
        <v>151</v>
      </c>
      <c r="CC224" t="s">
        <v>152</v>
      </c>
      <c r="CD224" t="s">
        <v>118</v>
      </c>
      <c r="CI224" t="s">
        <v>221</v>
      </c>
      <c r="CJ224" t="s">
        <v>221</v>
      </c>
      <c r="CK224" t="s">
        <v>468</v>
      </c>
      <c r="CL224">
        <v>2</v>
      </c>
    </row>
    <row r="225" spans="1:90">
      <c r="A225" t="s">
        <v>433</v>
      </c>
      <c r="B225" t="s">
        <v>175</v>
      </c>
      <c r="C225" t="s">
        <v>152</v>
      </c>
      <c r="D225" t="s">
        <v>118</v>
      </c>
      <c r="L225">
        <v>2</v>
      </c>
      <c r="CA225" t="s">
        <v>490</v>
      </c>
      <c r="CB225" t="s">
        <v>151</v>
      </c>
      <c r="CC225" t="s">
        <v>152</v>
      </c>
      <c r="CD225" t="s">
        <v>118</v>
      </c>
      <c r="CK225" t="s">
        <v>491</v>
      </c>
      <c r="CL225">
        <v>2</v>
      </c>
    </row>
    <row r="226" spans="1:90">
      <c r="A226" t="s">
        <v>434</v>
      </c>
      <c r="B226" t="s">
        <v>175</v>
      </c>
      <c r="C226" t="s">
        <v>152</v>
      </c>
      <c r="D226" t="s">
        <v>118</v>
      </c>
      <c r="E226" t="s">
        <v>435</v>
      </c>
      <c r="J226" t="s">
        <v>181</v>
      </c>
      <c r="K226" t="s">
        <v>224</v>
      </c>
      <c r="L226">
        <v>2</v>
      </c>
      <c r="CA226" t="s">
        <v>492</v>
      </c>
      <c r="CB226" t="s">
        <v>151</v>
      </c>
      <c r="CC226" t="s">
        <v>149</v>
      </c>
      <c r="CD226" t="s">
        <v>118</v>
      </c>
      <c r="CE226" t="s">
        <v>167</v>
      </c>
      <c r="CJ226" t="s">
        <v>181</v>
      </c>
      <c r="CK226" t="s">
        <v>192</v>
      </c>
      <c r="CL226">
        <v>2</v>
      </c>
    </row>
    <row r="227" spans="1:90">
      <c r="A227" t="s">
        <v>436</v>
      </c>
      <c r="B227" t="s">
        <v>175</v>
      </c>
      <c r="C227" t="s">
        <v>152</v>
      </c>
      <c r="D227" t="s">
        <v>118</v>
      </c>
      <c r="L227">
        <v>2</v>
      </c>
      <c r="CA227" t="s">
        <v>493</v>
      </c>
      <c r="CB227" t="s">
        <v>151</v>
      </c>
      <c r="CC227" t="s">
        <v>277</v>
      </c>
      <c r="CD227" t="s">
        <v>118</v>
      </c>
      <c r="CL227">
        <v>2</v>
      </c>
    </row>
    <row r="228" spans="1:90">
      <c r="A228" t="s">
        <v>437</v>
      </c>
      <c r="B228" t="s">
        <v>175</v>
      </c>
      <c r="C228" t="s">
        <v>152</v>
      </c>
      <c r="D228" t="s">
        <v>124</v>
      </c>
      <c r="L228">
        <v>2</v>
      </c>
      <c r="CA228" t="s">
        <v>494</v>
      </c>
      <c r="CB228" t="s">
        <v>151</v>
      </c>
      <c r="CC228" t="s">
        <v>152</v>
      </c>
      <c r="CD228" t="s">
        <v>118</v>
      </c>
      <c r="CE228" t="s">
        <v>167</v>
      </c>
      <c r="CI228" t="s">
        <v>181</v>
      </c>
      <c r="CJ228" t="s">
        <v>181</v>
      </c>
      <c r="CK228" t="s">
        <v>192</v>
      </c>
      <c r="CL228">
        <v>2</v>
      </c>
    </row>
    <row r="229" spans="1:90">
      <c r="A229" t="s">
        <v>438</v>
      </c>
      <c r="B229" t="s">
        <v>175</v>
      </c>
      <c r="C229" t="s">
        <v>152</v>
      </c>
      <c r="D229" t="s">
        <v>124</v>
      </c>
      <c r="L229">
        <v>2</v>
      </c>
      <c r="CA229" t="s">
        <v>496</v>
      </c>
      <c r="CB229" t="s">
        <v>151</v>
      </c>
      <c r="CC229" t="s">
        <v>152</v>
      </c>
      <c r="CD229" t="s">
        <v>124</v>
      </c>
      <c r="CE229" t="s">
        <v>167</v>
      </c>
      <c r="CJ229" t="s">
        <v>156</v>
      </c>
      <c r="CL229">
        <v>2</v>
      </c>
    </row>
    <row r="230" spans="1:90">
      <c r="A230" t="s">
        <v>439</v>
      </c>
      <c r="B230" t="s">
        <v>175</v>
      </c>
      <c r="C230" t="s">
        <v>152</v>
      </c>
      <c r="D230" t="s">
        <v>118</v>
      </c>
      <c r="J230" t="s">
        <v>168</v>
      </c>
      <c r="K230" t="s">
        <v>440</v>
      </c>
      <c r="L230">
        <v>2</v>
      </c>
      <c r="CA230" t="s">
        <v>497</v>
      </c>
      <c r="CB230" t="s">
        <v>160</v>
      </c>
      <c r="CC230" t="s">
        <v>120</v>
      </c>
      <c r="CD230" t="s">
        <v>118</v>
      </c>
      <c r="CL230">
        <v>2</v>
      </c>
    </row>
    <row r="231" spans="1:90">
      <c r="A231" s="33" t="s">
        <v>441</v>
      </c>
      <c r="B231" s="33" t="s">
        <v>172</v>
      </c>
      <c r="C231" s="33" t="s">
        <v>152</v>
      </c>
      <c r="D231" s="33" t="s">
        <v>132</v>
      </c>
      <c r="E231" s="33" t="s">
        <v>167</v>
      </c>
      <c r="F231" s="33"/>
      <c r="G231" s="33"/>
      <c r="H231" s="33"/>
      <c r="I231" t="s">
        <v>181</v>
      </c>
      <c r="J231" t="s">
        <v>181</v>
      </c>
      <c r="K231" t="s">
        <v>442</v>
      </c>
      <c r="L231">
        <v>2</v>
      </c>
      <c r="CA231" t="s">
        <v>498</v>
      </c>
      <c r="CB231" t="s">
        <v>160</v>
      </c>
      <c r="CC231" t="s">
        <v>120</v>
      </c>
      <c r="CD231" t="s">
        <v>124</v>
      </c>
      <c r="CL231">
        <v>2</v>
      </c>
    </row>
    <row r="232" spans="1:90">
      <c r="A232" s="33" t="s">
        <v>443</v>
      </c>
      <c r="B232" s="33" t="s">
        <v>172</v>
      </c>
      <c r="C232" s="33" t="s">
        <v>152</v>
      </c>
      <c r="D232" s="33" t="s">
        <v>124</v>
      </c>
      <c r="E232" s="33" t="s">
        <v>167</v>
      </c>
      <c r="F232" s="33"/>
      <c r="G232" s="33"/>
      <c r="H232" s="33"/>
      <c r="I232" t="s">
        <v>156</v>
      </c>
      <c r="J232" t="s">
        <v>156</v>
      </c>
      <c r="K232" t="s">
        <v>444</v>
      </c>
      <c r="L232">
        <v>2</v>
      </c>
      <c r="CA232" t="s">
        <v>499</v>
      </c>
      <c r="CB232" t="s">
        <v>160</v>
      </c>
      <c r="CC232" t="s">
        <v>117</v>
      </c>
      <c r="CD232" t="s">
        <v>118</v>
      </c>
      <c r="CE232" t="s">
        <v>500</v>
      </c>
      <c r="CI232" t="s">
        <v>168</v>
      </c>
      <c r="CJ232" t="s">
        <v>168</v>
      </c>
      <c r="CK232" t="s">
        <v>501</v>
      </c>
      <c r="CL232">
        <v>2</v>
      </c>
    </row>
    <row r="233" spans="1:90">
      <c r="A233" s="33" t="s">
        <v>445</v>
      </c>
      <c r="B233" s="33" t="s">
        <v>172</v>
      </c>
      <c r="C233" s="33" t="s">
        <v>152</v>
      </c>
      <c r="D233" s="33" t="s">
        <v>118</v>
      </c>
      <c r="E233" s="33"/>
      <c r="F233" s="33"/>
      <c r="G233" s="33"/>
      <c r="H233" s="33"/>
      <c r="L233">
        <v>2</v>
      </c>
      <c r="CA233" t="s">
        <v>502</v>
      </c>
      <c r="CB233" t="s">
        <v>160</v>
      </c>
      <c r="CC233" t="s">
        <v>117</v>
      </c>
      <c r="CD233" t="s">
        <v>118</v>
      </c>
      <c r="CL233">
        <v>2</v>
      </c>
    </row>
    <row r="234" spans="1:90">
      <c r="A234" s="33" t="s">
        <v>446</v>
      </c>
      <c r="B234" s="33" t="s">
        <v>172</v>
      </c>
      <c r="C234" s="33" t="s">
        <v>149</v>
      </c>
      <c r="D234" s="33" t="s">
        <v>124</v>
      </c>
      <c r="E234" s="33" t="s">
        <v>167</v>
      </c>
      <c r="F234" s="33"/>
      <c r="G234" s="33"/>
      <c r="H234" s="33"/>
      <c r="I234" t="s">
        <v>181</v>
      </c>
      <c r="J234" t="s">
        <v>181</v>
      </c>
      <c r="K234" t="s">
        <v>447</v>
      </c>
      <c r="L234">
        <v>2</v>
      </c>
      <c r="CA234" t="s">
        <v>503</v>
      </c>
      <c r="CB234" t="s">
        <v>160</v>
      </c>
      <c r="CC234" t="s">
        <v>117</v>
      </c>
      <c r="CD234" t="s">
        <v>124</v>
      </c>
      <c r="CL234">
        <v>2</v>
      </c>
    </row>
    <row r="235" spans="1:90">
      <c r="A235" t="s">
        <v>448</v>
      </c>
      <c r="B235" t="s">
        <v>279</v>
      </c>
      <c r="C235" t="s">
        <v>152</v>
      </c>
      <c r="D235" t="s">
        <v>124</v>
      </c>
      <c r="L235">
        <v>2</v>
      </c>
      <c r="CA235" t="s">
        <v>504</v>
      </c>
      <c r="CB235" t="s">
        <v>160</v>
      </c>
      <c r="CC235" t="s">
        <v>117</v>
      </c>
      <c r="CD235" t="s">
        <v>118</v>
      </c>
      <c r="CL235">
        <v>2</v>
      </c>
    </row>
    <row r="236" spans="1:90">
      <c r="A236" t="s">
        <v>449</v>
      </c>
      <c r="B236" t="s">
        <v>279</v>
      </c>
      <c r="C236" t="s">
        <v>152</v>
      </c>
      <c r="D236" t="s">
        <v>124</v>
      </c>
      <c r="L236">
        <v>2</v>
      </c>
      <c r="CA236" t="s">
        <v>505</v>
      </c>
      <c r="CB236" t="s">
        <v>162</v>
      </c>
      <c r="CC236" t="s">
        <v>152</v>
      </c>
      <c r="CD236" t="s">
        <v>124</v>
      </c>
      <c r="CL236">
        <v>2</v>
      </c>
    </row>
    <row r="237" spans="1:90">
      <c r="A237" t="s">
        <v>450</v>
      </c>
      <c r="B237" t="s">
        <v>279</v>
      </c>
      <c r="C237" t="s">
        <v>152</v>
      </c>
      <c r="D237" t="s">
        <v>124</v>
      </c>
      <c r="L237">
        <v>2</v>
      </c>
      <c r="CA237" t="s">
        <v>506</v>
      </c>
      <c r="CB237" t="s">
        <v>162</v>
      </c>
      <c r="CC237" t="s">
        <v>152</v>
      </c>
      <c r="CD237" t="s">
        <v>118</v>
      </c>
      <c r="CF237" t="s">
        <v>370</v>
      </c>
      <c r="CH237" t="s">
        <v>164</v>
      </c>
      <c r="CL237">
        <v>2</v>
      </c>
    </row>
    <row r="238" spans="1:90">
      <c r="A238" t="s">
        <v>451</v>
      </c>
      <c r="B238" t="s">
        <v>279</v>
      </c>
      <c r="C238" t="s">
        <v>152</v>
      </c>
      <c r="D238" t="s">
        <v>118</v>
      </c>
      <c r="L238">
        <v>2</v>
      </c>
      <c r="CA238" t="s">
        <v>507</v>
      </c>
      <c r="CB238" t="s">
        <v>162</v>
      </c>
      <c r="CC238" t="s">
        <v>152</v>
      </c>
      <c r="CD238" t="s">
        <v>124</v>
      </c>
      <c r="CL238">
        <v>2</v>
      </c>
    </row>
    <row r="239" spans="1:90">
      <c r="A239" t="s">
        <v>452</v>
      </c>
      <c r="B239" t="s">
        <v>279</v>
      </c>
      <c r="C239" t="s">
        <v>152</v>
      </c>
      <c r="D239" t="s">
        <v>118</v>
      </c>
      <c r="L239">
        <v>2</v>
      </c>
      <c r="CA239" t="s">
        <v>508</v>
      </c>
      <c r="CB239" t="s">
        <v>162</v>
      </c>
      <c r="CC239" t="s">
        <v>149</v>
      </c>
      <c r="CD239" t="s">
        <v>118</v>
      </c>
      <c r="CL239">
        <v>2</v>
      </c>
    </row>
    <row r="240" spans="1:90">
      <c r="A240" t="s">
        <v>453</v>
      </c>
      <c r="B240" t="s">
        <v>279</v>
      </c>
      <c r="C240" t="s">
        <v>152</v>
      </c>
      <c r="D240" t="s">
        <v>118</v>
      </c>
      <c r="L240">
        <v>2</v>
      </c>
      <c r="CA240" t="s">
        <v>509</v>
      </c>
      <c r="CB240" t="s">
        <v>162</v>
      </c>
      <c r="CC240" t="s">
        <v>277</v>
      </c>
      <c r="CD240" t="s">
        <v>124</v>
      </c>
      <c r="CL240">
        <v>2</v>
      </c>
    </row>
    <row r="241" spans="1:90">
      <c r="A241" t="s">
        <v>454</v>
      </c>
      <c r="B241" t="s">
        <v>279</v>
      </c>
      <c r="C241" t="s">
        <v>152</v>
      </c>
      <c r="D241" t="s">
        <v>118</v>
      </c>
      <c r="L241">
        <v>2</v>
      </c>
      <c r="CA241" t="s">
        <v>512</v>
      </c>
      <c r="CB241" t="s">
        <v>151</v>
      </c>
      <c r="CC241" t="s">
        <v>152</v>
      </c>
      <c r="CD241" t="s">
        <v>124</v>
      </c>
      <c r="CE241" t="s">
        <v>167</v>
      </c>
      <c r="CI241" t="s">
        <v>168</v>
      </c>
      <c r="CJ241" t="s">
        <v>168</v>
      </c>
      <c r="CK241" t="s">
        <v>513</v>
      </c>
      <c r="CL241">
        <v>2</v>
      </c>
    </row>
    <row r="242" spans="1:90">
      <c r="A242" t="s">
        <v>455</v>
      </c>
      <c r="B242" t="s">
        <v>279</v>
      </c>
      <c r="C242" t="s">
        <v>152</v>
      </c>
      <c r="D242" t="s">
        <v>118</v>
      </c>
      <c r="L242">
        <v>2</v>
      </c>
      <c r="CA242" t="s">
        <v>515</v>
      </c>
      <c r="CB242" t="s">
        <v>151</v>
      </c>
      <c r="CC242" t="s">
        <v>152</v>
      </c>
      <c r="CD242" t="s">
        <v>124</v>
      </c>
      <c r="CE242" t="s">
        <v>167</v>
      </c>
      <c r="CI242" t="s">
        <v>418</v>
      </c>
      <c r="CJ242" t="s">
        <v>221</v>
      </c>
      <c r="CK242" t="s">
        <v>306</v>
      </c>
      <c r="CL242">
        <v>2</v>
      </c>
    </row>
    <row r="243" spans="1:90">
      <c r="A243" t="s">
        <v>456</v>
      </c>
      <c r="B243" t="s">
        <v>279</v>
      </c>
      <c r="C243" t="s">
        <v>152</v>
      </c>
      <c r="D243" t="s">
        <v>118</v>
      </c>
      <c r="L243">
        <v>2</v>
      </c>
      <c r="CA243" t="s">
        <v>516</v>
      </c>
      <c r="CB243" t="s">
        <v>151</v>
      </c>
      <c r="CC243" t="s">
        <v>152</v>
      </c>
      <c r="CD243" t="s">
        <v>124</v>
      </c>
      <c r="CE243" t="s">
        <v>167</v>
      </c>
      <c r="CI243" t="s">
        <v>221</v>
      </c>
      <c r="CJ243" t="s">
        <v>221</v>
      </c>
      <c r="CK243" t="s">
        <v>517</v>
      </c>
      <c r="CL243">
        <v>2</v>
      </c>
    </row>
    <row r="244" spans="1:90">
      <c r="A244" t="s">
        <v>457</v>
      </c>
      <c r="B244" t="s">
        <v>279</v>
      </c>
      <c r="C244" t="s">
        <v>152</v>
      </c>
      <c r="D244" t="s">
        <v>118</v>
      </c>
      <c r="L244">
        <v>2</v>
      </c>
      <c r="CA244" t="s">
        <v>524</v>
      </c>
      <c r="CB244" t="s">
        <v>151</v>
      </c>
      <c r="CC244" t="s">
        <v>152</v>
      </c>
      <c r="CD244" t="s">
        <v>124</v>
      </c>
      <c r="CE244" t="s">
        <v>167</v>
      </c>
      <c r="CI244" t="s">
        <v>168</v>
      </c>
      <c r="CJ244" t="s">
        <v>168</v>
      </c>
      <c r="CK244" t="s">
        <v>468</v>
      </c>
      <c r="CL244">
        <v>2</v>
      </c>
    </row>
    <row r="245" spans="1:90">
      <c r="A245" t="s">
        <v>458</v>
      </c>
      <c r="B245" t="s">
        <v>279</v>
      </c>
      <c r="C245" t="s">
        <v>152</v>
      </c>
      <c r="D245" t="s">
        <v>118</v>
      </c>
      <c r="L245">
        <v>2</v>
      </c>
      <c r="CA245" t="s">
        <v>525</v>
      </c>
      <c r="CB245" t="s">
        <v>151</v>
      </c>
      <c r="CC245" t="s">
        <v>152</v>
      </c>
      <c r="CD245" t="s">
        <v>124</v>
      </c>
      <c r="CL245">
        <v>2</v>
      </c>
    </row>
    <row r="246" spans="1:90">
      <c r="A246" t="s">
        <v>459</v>
      </c>
      <c r="B246" t="s">
        <v>215</v>
      </c>
      <c r="C246" t="s">
        <v>152</v>
      </c>
      <c r="D246" t="s">
        <v>118</v>
      </c>
      <c r="L246">
        <v>2</v>
      </c>
      <c r="CA246" t="s">
        <v>526</v>
      </c>
      <c r="CB246" t="s">
        <v>151</v>
      </c>
      <c r="CC246" t="s">
        <v>149</v>
      </c>
      <c r="CD246" t="s">
        <v>124</v>
      </c>
      <c r="CE246" t="s">
        <v>167</v>
      </c>
      <c r="CI246" t="s">
        <v>181</v>
      </c>
      <c r="CJ246" t="s">
        <v>181</v>
      </c>
      <c r="CK246" t="s">
        <v>192</v>
      </c>
      <c r="CL246">
        <v>2</v>
      </c>
    </row>
    <row r="247" spans="1:90">
      <c r="A247" t="s">
        <v>460</v>
      </c>
      <c r="B247" t="s">
        <v>175</v>
      </c>
      <c r="C247" t="s">
        <v>152</v>
      </c>
      <c r="D247" t="s">
        <v>124</v>
      </c>
      <c r="CA247" t="s">
        <v>529</v>
      </c>
      <c r="CB247" t="s">
        <v>151</v>
      </c>
      <c r="CC247" t="s">
        <v>152</v>
      </c>
      <c r="CD247" t="s">
        <v>124</v>
      </c>
      <c r="CE247" t="s">
        <v>167</v>
      </c>
      <c r="CI247" t="s">
        <v>418</v>
      </c>
      <c r="CJ247" t="s">
        <v>418</v>
      </c>
      <c r="CK247" t="s">
        <v>419</v>
      </c>
      <c r="CL247">
        <v>2</v>
      </c>
    </row>
    <row r="248" spans="1:90">
      <c r="A248" t="s">
        <v>461</v>
      </c>
      <c r="B248" t="s">
        <v>151</v>
      </c>
      <c r="C248" t="s">
        <v>152</v>
      </c>
      <c r="D248" t="s">
        <v>118</v>
      </c>
      <c r="L248">
        <v>2</v>
      </c>
      <c r="CA248" t="s">
        <v>532</v>
      </c>
      <c r="CB248" t="s">
        <v>151</v>
      </c>
      <c r="CC248" t="s">
        <v>152</v>
      </c>
      <c r="CD248" t="s">
        <v>124</v>
      </c>
      <c r="CE248" t="s">
        <v>167</v>
      </c>
      <c r="CI248" t="s">
        <v>186</v>
      </c>
      <c r="CJ248" t="s">
        <v>168</v>
      </c>
      <c r="CK248" t="s">
        <v>468</v>
      </c>
      <c r="CL248">
        <v>2</v>
      </c>
    </row>
    <row r="249" spans="1:90">
      <c r="A249" t="s">
        <v>462</v>
      </c>
      <c r="B249" t="s">
        <v>151</v>
      </c>
      <c r="C249" t="s">
        <v>152</v>
      </c>
      <c r="D249" t="s">
        <v>132</v>
      </c>
      <c r="E249" t="s">
        <v>180</v>
      </c>
      <c r="J249" t="s">
        <v>168</v>
      </c>
      <c r="K249" t="s">
        <v>463</v>
      </c>
      <c r="L249">
        <v>2</v>
      </c>
      <c r="CA249" t="s">
        <v>533</v>
      </c>
      <c r="CB249" t="s">
        <v>175</v>
      </c>
      <c r="CC249" t="s">
        <v>149</v>
      </c>
      <c r="CD249" t="s">
        <v>132</v>
      </c>
      <c r="CE249" t="s">
        <v>167</v>
      </c>
      <c r="CI249" t="s">
        <v>189</v>
      </c>
      <c r="CJ249" t="s">
        <v>189</v>
      </c>
      <c r="CK249" t="s">
        <v>534</v>
      </c>
      <c r="CL249">
        <v>2</v>
      </c>
    </row>
    <row r="250" spans="1:90">
      <c r="A250" t="s">
        <v>464</v>
      </c>
      <c r="B250" t="s">
        <v>151</v>
      </c>
      <c r="C250" t="s">
        <v>149</v>
      </c>
      <c r="D250" t="s">
        <v>124</v>
      </c>
      <c r="E250" t="s">
        <v>153</v>
      </c>
      <c r="J250" t="s">
        <v>156</v>
      </c>
      <c r="K250" t="s">
        <v>187</v>
      </c>
      <c r="L250">
        <v>2</v>
      </c>
      <c r="CA250" t="s">
        <v>535</v>
      </c>
      <c r="CB250" t="s">
        <v>175</v>
      </c>
      <c r="CC250" t="s">
        <v>152</v>
      </c>
      <c r="CD250" t="s">
        <v>124</v>
      </c>
      <c r="CL250">
        <v>2</v>
      </c>
    </row>
    <row r="251" spans="1:90">
      <c r="A251" t="s">
        <v>465</v>
      </c>
      <c r="B251" t="s">
        <v>151</v>
      </c>
      <c r="C251" t="s">
        <v>149</v>
      </c>
      <c r="D251" t="s">
        <v>124</v>
      </c>
      <c r="F251" t="s">
        <v>163</v>
      </c>
      <c r="H251" t="s">
        <v>164</v>
      </c>
      <c r="L251">
        <v>2</v>
      </c>
      <c r="CA251" t="s">
        <v>536</v>
      </c>
      <c r="CB251" t="s">
        <v>175</v>
      </c>
      <c r="CC251" t="s">
        <v>152</v>
      </c>
      <c r="CD251" t="s">
        <v>118</v>
      </c>
      <c r="CL251">
        <v>2</v>
      </c>
    </row>
    <row r="252" spans="1:90">
      <c r="A252" t="s">
        <v>466</v>
      </c>
      <c r="B252" t="s">
        <v>151</v>
      </c>
      <c r="C252" t="s">
        <v>149</v>
      </c>
      <c r="D252" t="s">
        <v>124</v>
      </c>
      <c r="E252" t="s">
        <v>153</v>
      </c>
      <c r="I252" t="s">
        <v>186</v>
      </c>
      <c r="J252" t="s">
        <v>156</v>
      </c>
      <c r="K252" t="s">
        <v>157</v>
      </c>
      <c r="L252">
        <v>2</v>
      </c>
      <c r="CA252" t="s">
        <v>537</v>
      </c>
      <c r="CB252" t="s">
        <v>175</v>
      </c>
      <c r="CC252" t="s">
        <v>152</v>
      </c>
      <c r="CD252" t="s">
        <v>118</v>
      </c>
      <c r="CL252">
        <v>2</v>
      </c>
    </row>
    <row r="253" spans="1:90">
      <c r="A253" t="s">
        <v>467</v>
      </c>
      <c r="B253" t="s">
        <v>151</v>
      </c>
      <c r="C253" t="s">
        <v>149</v>
      </c>
      <c r="D253" t="s">
        <v>124</v>
      </c>
      <c r="E253" t="s">
        <v>167</v>
      </c>
      <c r="I253" t="s">
        <v>181</v>
      </c>
      <c r="J253" t="s">
        <v>181</v>
      </c>
      <c r="K253" t="s">
        <v>468</v>
      </c>
      <c r="L253">
        <v>2</v>
      </c>
      <c r="CA253" t="s">
        <v>538</v>
      </c>
      <c r="CB253" t="s">
        <v>175</v>
      </c>
      <c r="CC253" t="s">
        <v>152</v>
      </c>
      <c r="CD253" t="s">
        <v>124</v>
      </c>
      <c r="CL253">
        <v>2</v>
      </c>
    </row>
    <row r="254" spans="1:90">
      <c r="A254" t="s">
        <v>363</v>
      </c>
      <c r="B254" t="s">
        <v>151</v>
      </c>
      <c r="C254" t="s">
        <v>149</v>
      </c>
      <c r="D254" t="s">
        <v>124</v>
      </c>
      <c r="E254" t="s">
        <v>153</v>
      </c>
      <c r="I254" t="s">
        <v>181</v>
      </c>
      <c r="J254" t="s">
        <v>181</v>
      </c>
      <c r="K254" t="s">
        <v>469</v>
      </c>
      <c r="L254">
        <v>2</v>
      </c>
      <c r="CA254" t="s">
        <v>539</v>
      </c>
      <c r="CB254" t="s">
        <v>175</v>
      </c>
      <c r="CC254" t="s">
        <v>152</v>
      </c>
      <c r="CD254" t="s">
        <v>118</v>
      </c>
      <c r="CL254">
        <v>2</v>
      </c>
    </row>
    <row r="255" spans="1:90">
      <c r="A255" t="s">
        <v>470</v>
      </c>
      <c r="B255" t="s">
        <v>116</v>
      </c>
      <c r="C255" t="s">
        <v>149</v>
      </c>
      <c r="D255" t="s">
        <v>118</v>
      </c>
      <c r="L255">
        <v>2</v>
      </c>
      <c r="CA255" t="s">
        <v>540</v>
      </c>
      <c r="CB255" t="s">
        <v>175</v>
      </c>
      <c r="CC255" t="s">
        <v>152</v>
      </c>
      <c r="CD255" t="s">
        <v>118</v>
      </c>
      <c r="CL255">
        <v>2</v>
      </c>
    </row>
    <row r="256" spans="1:90">
      <c r="A256" t="s">
        <v>471</v>
      </c>
      <c r="B256" t="s">
        <v>151</v>
      </c>
      <c r="C256" t="s">
        <v>149</v>
      </c>
      <c r="D256" t="s">
        <v>124</v>
      </c>
      <c r="E256" t="s">
        <v>167</v>
      </c>
      <c r="I256" t="s">
        <v>186</v>
      </c>
      <c r="J256" t="s">
        <v>186</v>
      </c>
      <c r="K256" t="s">
        <v>306</v>
      </c>
      <c r="L256">
        <v>2</v>
      </c>
      <c r="CA256" t="s">
        <v>541</v>
      </c>
      <c r="CB256" t="s">
        <v>175</v>
      </c>
      <c r="CC256" t="s">
        <v>152</v>
      </c>
      <c r="CD256" t="s">
        <v>124</v>
      </c>
      <c r="CE256" t="s">
        <v>167</v>
      </c>
      <c r="CI256" t="s">
        <v>181</v>
      </c>
      <c r="CJ256" t="s">
        <v>181</v>
      </c>
      <c r="CK256" t="s">
        <v>542</v>
      </c>
      <c r="CL256">
        <v>2</v>
      </c>
    </row>
    <row r="257" spans="1:90">
      <c r="A257" t="s">
        <v>472</v>
      </c>
      <c r="B257" t="s">
        <v>162</v>
      </c>
      <c r="C257" t="s">
        <v>277</v>
      </c>
      <c r="D257" t="s">
        <v>124</v>
      </c>
      <c r="L257">
        <v>2</v>
      </c>
      <c r="CA257" t="s">
        <v>543</v>
      </c>
      <c r="CB257" t="s">
        <v>175</v>
      </c>
      <c r="CC257" t="s">
        <v>152</v>
      </c>
      <c r="CD257" t="s">
        <v>124</v>
      </c>
      <c r="CL257">
        <v>2</v>
      </c>
    </row>
    <row r="258" spans="1:90">
      <c r="A258" t="s">
        <v>473</v>
      </c>
      <c r="B258" t="s">
        <v>175</v>
      </c>
      <c r="C258" t="s">
        <v>277</v>
      </c>
      <c r="D258" t="s">
        <v>132</v>
      </c>
      <c r="L258">
        <v>2</v>
      </c>
      <c r="CA258" t="s">
        <v>544</v>
      </c>
      <c r="CB258" t="s">
        <v>175</v>
      </c>
      <c r="CC258" t="s">
        <v>152</v>
      </c>
      <c r="CD258" t="s">
        <v>118</v>
      </c>
      <c r="CE258" t="s">
        <v>167</v>
      </c>
      <c r="CI258" t="s">
        <v>189</v>
      </c>
      <c r="CJ258" t="s">
        <v>189</v>
      </c>
      <c r="CK258" t="s">
        <v>545</v>
      </c>
      <c r="CL258">
        <v>2</v>
      </c>
    </row>
    <row r="259" spans="1:90">
      <c r="A259" s="33" t="s">
        <v>474</v>
      </c>
      <c r="B259" s="33" t="s">
        <v>172</v>
      </c>
      <c r="C259" s="33" t="s">
        <v>149</v>
      </c>
      <c r="D259" s="33" t="s">
        <v>118</v>
      </c>
      <c r="E259" s="33"/>
      <c r="F259" s="33"/>
      <c r="G259" s="33"/>
      <c r="H259" s="33"/>
      <c r="L259">
        <v>2</v>
      </c>
      <c r="CA259" s="33" t="s">
        <v>546</v>
      </c>
      <c r="CB259" s="33" t="s">
        <v>172</v>
      </c>
      <c r="CC259" s="33" t="s">
        <v>152</v>
      </c>
      <c r="CD259" s="33" t="s">
        <v>132</v>
      </c>
      <c r="CE259" s="33"/>
      <c r="CF259" s="33"/>
      <c r="CG259" s="33"/>
      <c r="CH259" s="33"/>
      <c r="CL259">
        <v>2</v>
      </c>
    </row>
    <row r="260" spans="1:90">
      <c r="A260" t="s">
        <v>475</v>
      </c>
      <c r="B260" t="s">
        <v>279</v>
      </c>
      <c r="C260" t="s">
        <v>216</v>
      </c>
      <c r="D260" t="s">
        <v>118</v>
      </c>
      <c r="L260">
        <v>2</v>
      </c>
      <c r="CA260" s="33" t="s">
        <v>547</v>
      </c>
      <c r="CB260" s="33" t="s">
        <v>172</v>
      </c>
      <c r="CC260" s="33" t="s">
        <v>149</v>
      </c>
      <c r="CD260" s="33" t="s">
        <v>124</v>
      </c>
      <c r="CE260" s="33"/>
      <c r="CF260" s="33"/>
      <c r="CG260" s="33"/>
      <c r="CH260" s="33"/>
      <c r="CL260">
        <v>2</v>
      </c>
    </row>
    <row r="261" spans="1:90">
      <c r="A261" t="s">
        <v>476</v>
      </c>
      <c r="B261" t="s">
        <v>175</v>
      </c>
      <c r="C261" t="s">
        <v>149</v>
      </c>
      <c r="D261" t="s">
        <v>118</v>
      </c>
      <c r="L261">
        <v>2</v>
      </c>
      <c r="CA261" s="33" t="s">
        <v>548</v>
      </c>
      <c r="CB261" s="33" t="s">
        <v>172</v>
      </c>
      <c r="CC261" s="33" t="s">
        <v>152</v>
      </c>
      <c r="CD261" s="33" t="s">
        <v>124</v>
      </c>
      <c r="CE261" s="33"/>
      <c r="CF261" s="33"/>
      <c r="CG261" s="33"/>
      <c r="CH261" s="33"/>
      <c r="CL261">
        <v>2</v>
      </c>
    </row>
    <row r="262" spans="1:90">
      <c r="A262" t="s">
        <v>477</v>
      </c>
      <c r="B262" t="s">
        <v>116</v>
      </c>
      <c r="C262" t="s">
        <v>152</v>
      </c>
      <c r="D262" t="s">
        <v>118</v>
      </c>
      <c r="L262">
        <v>2</v>
      </c>
      <c r="CA262" s="33" t="s">
        <v>549</v>
      </c>
      <c r="CB262" s="33" t="s">
        <v>172</v>
      </c>
      <c r="CC262" s="33" t="s">
        <v>152</v>
      </c>
      <c r="CD262" s="33" t="s">
        <v>118</v>
      </c>
      <c r="CE262" s="33"/>
      <c r="CF262" s="33"/>
      <c r="CG262" s="33"/>
      <c r="CH262" s="33"/>
      <c r="CL262">
        <v>2</v>
      </c>
    </row>
    <row r="263" spans="1:90">
      <c r="A263" t="s">
        <v>478</v>
      </c>
      <c r="B263" t="s">
        <v>116</v>
      </c>
      <c r="C263" t="s">
        <v>152</v>
      </c>
      <c r="D263" t="s">
        <v>124</v>
      </c>
      <c r="L263">
        <v>2</v>
      </c>
      <c r="CA263" s="33" t="s">
        <v>550</v>
      </c>
      <c r="CB263" s="33" t="s">
        <v>172</v>
      </c>
      <c r="CC263" s="33" t="s">
        <v>152</v>
      </c>
      <c r="CD263" s="33" t="s">
        <v>118</v>
      </c>
      <c r="CE263" s="33" t="s">
        <v>167</v>
      </c>
      <c r="CF263" s="33"/>
      <c r="CG263" s="33"/>
      <c r="CH263" s="33"/>
      <c r="CI263" t="s">
        <v>181</v>
      </c>
      <c r="CJ263" t="s">
        <v>181</v>
      </c>
      <c r="CK263" t="s">
        <v>442</v>
      </c>
      <c r="CL263">
        <v>2</v>
      </c>
    </row>
    <row r="264" spans="1:90">
      <c r="A264" t="s">
        <v>479</v>
      </c>
      <c r="B264" t="s">
        <v>116</v>
      </c>
      <c r="C264" t="s">
        <v>216</v>
      </c>
      <c r="D264" t="s">
        <v>132</v>
      </c>
      <c r="L264">
        <v>2</v>
      </c>
      <c r="CA264" s="33" t="s">
        <v>551</v>
      </c>
      <c r="CB264" s="33" t="s">
        <v>172</v>
      </c>
      <c r="CC264" s="33" t="s">
        <v>152</v>
      </c>
      <c r="CD264" s="33" t="s">
        <v>124</v>
      </c>
      <c r="CE264" s="33"/>
      <c r="CF264" s="33"/>
      <c r="CG264" s="33"/>
      <c r="CH264" s="33"/>
      <c r="CL264">
        <v>2</v>
      </c>
    </row>
    <row r="265" spans="1:90">
      <c r="A265" t="s">
        <v>480</v>
      </c>
      <c r="B265" t="s">
        <v>116</v>
      </c>
      <c r="C265" t="s">
        <v>152</v>
      </c>
      <c r="D265" t="s">
        <v>118</v>
      </c>
      <c r="I265" t="s">
        <v>186</v>
      </c>
      <c r="J265" t="s">
        <v>186</v>
      </c>
      <c r="K265" t="s">
        <v>481</v>
      </c>
      <c r="L265">
        <v>2</v>
      </c>
      <c r="CA265" s="33" t="s">
        <v>552</v>
      </c>
      <c r="CB265" s="33" t="s">
        <v>172</v>
      </c>
      <c r="CC265" s="33" t="s">
        <v>152</v>
      </c>
      <c r="CD265" s="33" t="s">
        <v>118</v>
      </c>
      <c r="CE265" s="33"/>
      <c r="CF265" s="33"/>
      <c r="CG265" s="33"/>
      <c r="CH265" s="33"/>
      <c r="CL265">
        <v>2</v>
      </c>
    </row>
    <row r="266" spans="1:90">
      <c r="A266" t="s">
        <v>482</v>
      </c>
      <c r="B266" t="s">
        <v>151</v>
      </c>
      <c r="C266" t="s">
        <v>152</v>
      </c>
      <c r="D266" t="s">
        <v>118</v>
      </c>
      <c r="L266">
        <v>2</v>
      </c>
      <c r="CA266" s="33" t="s">
        <v>554</v>
      </c>
      <c r="CB266" s="33" t="s">
        <v>172</v>
      </c>
      <c r="CC266" s="33" t="s">
        <v>149</v>
      </c>
      <c r="CD266" s="33" t="s">
        <v>124</v>
      </c>
      <c r="CE266" s="33"/>
      <c r="CF266" s="33"/>
      <c r="CG266" s="33"/>
      <c r="CH266" s="33"/>
      <c r="CL266">
        <v>2</v>
      </c>
    </row>
    <row r="267" spans="1:90">
      <c r="A267" t="s">
        <v>483</v>
      </c>
      <c r="B267" t="s">
        <v>151</v>
      </c>
      <c r="C267" t="s">
        <v>152</v>
      </c>
      <c r="D267" t="s">
        <v>118</v>
      </c>
      <c r="F267" t="s">
        <v>163</v>
      </c>
      <c r="H267" t="s">
        <v>164</v>
      </c>
      <c r="I267" t="s">
        <v>186</v>
      </c>
      <c r="J267" t="s">
        <v>186</v>
      </c>
      <c r="K267" t="s">
        <v>484</v>
      </c>
      <c r="L267">
        <v>2</v>
      </c>
      <c r="CA267" s="33" t="s">
        <v>555</v>
      </c>
      <c r="CB267" s="33" t="s">
        <v>172</v>
      </c>
      <c r="CC267" s="33" t="s">
        <v>149</v>
      </c>
      <c r="CD267" s="33" t="s">
        <v>124</v>
      </c>
      <c r="CE267" s="33"/>
      <c r="CF267" s="33"/>
      <c r="CG267" s="33"/>
      <c r="CH267" s="33"/>
      <c r="CL267">
        <v>2</v>
      </c>
    </row>
    <row r="268" spans="1:90">
      <c r="A268" t="s">
        <v>485</v>
      </c>
      <c r="B268" t="s">
        <v>151</v>
      </c>
      <c r="C268" t="s">
        <v>152</v>
      </c>
      <c r="D268" t="s">
        <v>118</v>
      </c>
      <c r="K268" t="s">
        <v>486</v>
      </c>
      <c r="L268">
        <v>2</v>
      </c>
      <c r="CA268" s="33" t="s">
        <v>556</v>
      </c>
      <c r="CB268" s="33" t="s">
        <v>172</v>
      </c>
      <c r="CC268" s="33" t="s">
        <v>149</v>
      </c>
      <c r="CD268" s="33" t="s">
        <v>118</v>
      </c>
      <c r="CE268" s="33"/>
      <c r="CF268" s="33"/>
      <c r="CG268" s="33"/>
      <c r="CH268" s="33"/>
      <c r="CL268">
        <v>2</v>
      </c>
    </row>
    <row r="269" spans="1:90">
      <c r="A269" t="s">
        <v>487</v>
      </c>
      <c r="B269" t="s">
        <v>151</v>
      </c>
      <c r="C269" t="s">
        <v>149</v>
      </c>
      <c r="D269" t="s">
        <v>124</v>
      </c>
      <c r="J269" t="s">
        <v>168</v>
      </c>
      <c r="K269" t="s">
        <v>488</v>
      </c>
      <c r="L269">
        <v>2</v>
      </c>
      <c r="CA269" s="33" t="s">
        <v>557</v>
      </c>
      <c r="CB269" s="33" t="s">
        <v>172</v>
      </c>
      <c r="CC269" s="33" t="s">
        <v>152</v>
      </c>
      <c r="CD269" s="33" t="s">
        <v>118</v>
      </c>
      <c r="CE269" s="33"/>
      <c r="CF269" s="33"/>
      <c r="CG269" s="33"/>
      <c r="CH269" s="33"/>
      <c r="CL269">
        <v>2</v>
      </c>
    </row>
    <row r="270" spans="1:90">
      <c r="A270" t="s">
        <v>489</v>
      </c>
      <c r="B270" t="s">
        <v>151</v>
      </c>
      <c r="C270" t="s">
        <v>152</v>
      </c>
      <c r="D270" t="s">
        <v>118</v>
      </c>
      <c r="I270" t="s">
        <v>221</v>
      </c>
      <c r="J270" t="s">
        <v>221</v>
      </c>
      <c r="K270" t="s">
        <v>468</v>
      </c>
      <c r="L270">
        <v>2</v>
      </c>
      <c r="CA270" s="33" t="s">
        <v>558</v>
      </c>
      <c r="CB270" s="33" t="s">
        <v>172</v>
      </c>
      <c r="CC270" s="33" t="s">
        <v>152</v>
      </c>
      <c r="CD270" s="33" t="s">
        <v>124</v>
      </c>
      <c r="CE270" s="33"/>
      <c r="CF270" s="33"/>
      <c r="CG270" s="33"/>
      <c r="CH270" s="33"/>
      <c r="CL270">
        <v>2</v>
      </c>
    </row>
    <row r="271" spans="1:90">
      <c r="A271" t="s">
        <v>490</v>
      </c>
      <c r="B271" t="s">
        <v>151</v>
      </c>
      <c r="C271" t="s">
        <v>152</v>
      </c>
      <c r="D271" t="s">
        <v>118</v>
      </c>
      <c r="K271" t="s">
        <v>491</v>
      </c>
      <c r="L271">
        <v>2</v>
      </c>
      <c r="CA271" t="s">
        <v>559</v>
      </c>
      <c r="CB271" t="s">
        <v>279</v>
      </c>
      <c r="CC271" t="s">
        <v>149</v>
      </c>
      <c r="CD271" t="s">
        <v>124</v>
      </c>
      <c r="CL271">
        <v>2</v>
      </c>
    </row>
    <row r="272" spans="1:90">
      <c r="A272" t="s">
        <v>492</v>
      </c>
      <c r="B272" t="s">
        <v>151</v>
      </c>
      <c r="C272" t="s">
        <v>149</v>
      </c>
      <c r="D272" t="s">
        <v>118</v>
      </c>
      <c r="E272" t="s">
        <v>167</v>
      </c>
      <c r="J272" t="s">
        <v>181</v>
      </c>
      <c r="K272" t="s">
        <v>192</v>
      </c>
      <c r="L272">
        <v>2</v>
      </c>
      <c r="CA272" t="s">
        <v>560</v>
      </c>
      <c r="CB272" t="s">
        <v>279</v>
      </c>
      <c r="CC272" t="s">
        <v>216</v>
      </c>
      <c r="CD272" t="s">
        <v>118</v>
      </c>
      <c r="CL272">
        <v>2</v>
      </c>
    </row>
    <row r="273" spans="1:90">
      <c r="A273" t="s">
        <v>493</v>
      </c>
      <c r="B273" t="s">
        <v>151</v>
      </c>
      <c r="C273" t="s">
        <v>277</v>
      </c>
      <c r="D273" t="s">
        <v>118</v>
      </c>
      <c r="L273">
        <v>2</v>
      </c>
      <c r="CA273" t="s">
        <v>561</v>
      </c>
      <c r="CB273" t="s">
        <v>279</v>
      </c>
      <c r="CC273" t="s">
        <v>152</v>
      </c>
      <c r="CD273" t="s">
        <v>124</v>
      </c>
      <c r="CL273">
        <v>2</v>
      </c>
    </row>
    <row r="274" spans="1:90">
      <c r="A274" t="s">
        <v>494</v>
      </c>
      <c r="B274" t="s">
        <v>151</v>
      </c>
      <c r="C274" t="s">
        <v>152</v>
      </c>
      <c r="D274" t="s">
        <v>118</v>
      </c>
      <c r="E274" t="s">
        <v>167</v>
      </c>
      <c r="I274" t="s">
        <v>181</v>
      </c>
      <c r="J274" t="s">
        <v>181</v>
      </c>
      <c r="K274" t="s">
        <v>192</v>
      </c>
      <c r="L274">
        <v>2</v>
      </c>
      <c r="CA274" t="s">
        <v>562</v>
      </c>
      <c r="CB274" t="s">
        <v>279</v>
      </c>
      <c r="CC274" t="s">
        <v>152</v>
      </c>
      <c r="CD274" t="s">
        <v>118</v>
      </c>
      <c r="CL274">
        <v>2</v>
      </c>
    </row>
    <row r="275" spans="1:90">
      <c r="A275" t="s">
        <v>495</v>
      </c>
      <c r="B275" t="s">
        <v>151</v>
      </c>
      <c r="C275" t="s">
        <v>152</v>
      </c>
      <c r="D275" t="s">
        <v>118</v>
      </c>
      <c r="E275" t="s">
        <v>153</v>
      </c>
      <c r="I275" t="s">
        <v>221</v>
      </c>
      <c r="J275" t="s">
        <v>156</v>
      </c>
      <c r="K275" t="s">
        <v>207</v>
      </c>
      <c r="L275">
        <v>2</v>
      </c>
      <c r="CA275" s="33" t="s">
        <v>563</v>
      </c>
      <c r="CB275" s="33" t="s">
        <v>279</v>
      </c>
      <c r="CC275" t="s">
        <v>152</v>
      </c>
      <c r="CD275" t="s">
        <v>124</v>
      </c>
      <c r="CF275" s="33"/>
      <c r="CL275">
        <v>2</v>
      </c>
    </row>
    <row r="276" spans="1:90">
      <c r="A276" t="s">
        <v>496</v>
      </c>
      <c r="B276" t="s">
        <v>151</v>
      </c>
      <c r="C276" t="s">
        <v>152</v>
      </c>
      <c r="D276" t="s">
        <v>124</v>
      </c>
      <c r="E276" t="s">
        <v>167</v>
      </c>
      <c r="J276" t="s">
        <v>156</v>
      </c>
      <c r="L276">
        <v>2</v>
      </c>
      <c r="CA276" t="s">
        <v>564</v>
      </c>
      <c r="CB276" t="s">
        <v>279</v>
      </c>
      <c r="CC276" t="s">
        <v>152</v>
      </c>
      <c r="CD276" t="s">
        <v>124</v>
      </c>
      <c r="CL276">
        <v>2</v>
      </c>
    </row>
    <row r="277" spans="1:90">
      <c r="A277" t="s">
        <v>497</v>
      </c>
      <c r="B277" t="s">
        <v>160</v>
      </c>
      <c r="C277" t="s">
        <v>120</v>
      </c>
      <c r="D277" t="s">
        <v>118</v>
      </c>
      <c r="L277">
        <v>2</v>
      </c>
      <c r="CA277" t="s">
        <v>565</v>
      </c>
      <c r="CB277" t="s">
        <v>279</v>
      </c>
      <c r="CC277" t="s">
        <v>152</v>
      </c>
      <c r="CD277" t="s">
        <v>118</v>
      </c>
      <c r="CL277">
        <v>2</v>
      </c>
    </row>
    <row r="278" spans="1:90">
      <c r="A278" t="s">
        <v>498</v>
      </c>
      <c r="B278" t="s">
        <v>160</v>
      </c>
      <c r="C278" t="s">
        <v>120</v>
      </c>
      <c r="D278" t="s">
        <v>124</v>
      </c>
      <c r="L278">
        <v>2</v>
      </c>
      <c r="CA278" t="s">
        <v>566</v>
      </c>
      <c r="CB278" t="s">
        <v>279</v>
      </c>
      <c r="CC278" t="s">
        <v>152</v>
      </c>
      <c r="CD278" t="s">
        <v>124</v>
      </c>
      <c r="CL278">
        <v>2</v>
      </c>
    </row>
    <row r="279" spans="1:90">
      <c r="A279" t="s">
        <v>499</v>
      </c>
      <c r="B279" t="s">
        <v>160</v>
      </c>
      <c r="C279" t="s">
        <v>117</v>
      </c>
      <c r="D279" t="s">
        <v>118</v>
      </c>
      <c r="E279" t="s">
        <v>500</v>
      </c>
      <c r="I279" t="s">
        <v>168</v>
      </c>
      <c r="J279" t="s">
        <v>168</v>
      </c>
      <c r="K279" t="s">
        <v>501</v>
      </c>
      <c r="L279">
        <v>2</v>
      </c>
      <c r="CA279" t="s">
        <v>567</v>
      </c>
      <c r="CB279" t="s">
        <v>279</v>
      </c>
      <c r="CC279" t="s">
        <v>152</v>
      </c>
      <c r="CD279" t="s">
        <v>118</v>
      </c>
      <c r="CL279">
        <v>2</v>
      </c>
    </row>
    <row r="280" spans="1:90">
      <c r="A280" t="s">
        <v>502</v>
      </c>
      <c r="B280" t="s">
        <v>160</v>
      </c>
      <c r="C280" t="s">
        <v>117</v>
      </c>
      <c r="D280" t="s">
        <v>118</v>
      </c>
      <c r="L280">
        <v>2</v>
      </c>
      <c r="CA280" t="s">
        <v>568</v>
      </c>
      <c r="CB280" t="s">
        <v>116</v>
      </c>
      <c r="CC280" t="s">
        <v>277</v>
      </c>
      <c r="CD280" t="s">
        <v>118</v>
      </c>
      <c r="CJ280" t="s">
        <v>221</v>
      </c>
      <c r="CK280" t="s">
        <v>569</v>
      </c>
      <c r="CL280">
        <v>2</v>
      </c>
    </row>
    <row r="281" spans="1:90">
      <c r="A281" t="s">
        <v>503</v>
      </c>
      <c r="B281" t="s">
        <v>160</v>
      </c>
      <c r="C281" t="s">
        <v>117</v>
      </c>
      <c r="D281" t="s">
        <v>124</v>
      </c>
      <c r="L281">
        <v>2</v>
      </c>
      <c r="CA281" t="s">
        <v>570</v>
      </c>
      <c r="CB281" t="s">
        <v>151</v>
      </c>
      <c r="CC281" t="s">
        <v>152</v>
      </c>
      <c r="CD281" t="s">
        <v>118</v>
      </c>
      <c r="CL281">
        <v>2</v>
      </c>
    </row>
    <row r="282" spans="1:90">
      <c r="A282" t="s">
        <v>504</v>
      </c>
      <c r="B282" t="s">
        <v>160</v>
      </c>
      <c r="C282" t="s">
        <v>117</v>
      </c>
      <c r="D282" t="s">
        <v>118</v>
      </c>
      <c r="L282">
        <v>2</v>
      </c>
      <c r="CA282" t="s">
        <v>581</v>
      </c>
      <c r="CB282" t="s">
        <v>116</v>
      </c>
      <c r="CC282" t="s">
        <v>117</v>
      </c>
      <c r="CD282" t="s">
        <v>124</v>
      </c>
      <c r="CL282">
        <v>2</v>
      </c>
    </row>
    <row r="283" spans="1:90">
      <c r="A283" t="s">
        <v>505</v>
      </c>
      <c r="B283" t="s">
        <v>162</v>
      </c>
      <c r="C283" t="s">
        <v>152</v>
      </c>
      <c r="D283" t="s">
        <v>124</v>
      </c>
      <c r="L283">
        <v>2</v>
      </c>
      <c r="CA283" t="s">
        <v>582</v>
      </c>
      <c r="CB283" t="s">
        <v>116</v>
      </c>
      <c r="CC283" t="s">
        <v>120</v>
      </c>
      <c r="CD283" t="s">
        <v>118</v>
      </c>
      <c r="CL283">
        <v>2</v>
      </c>
    </row>
    <row r="284" spans="1:90">
      <c r="A284" t="s">
        <v>506</v>
      </c>
      <c r="B284" t="s">
        <v>162</v>
      </c>
      <c r="C284" t="s">
        <v>152</v>
      </c>
      <c r="D284" t="s">
        <v>118</v>
      </c>
      <c r="F284" t="s">
        <v>370</v>
      </c>
      <c r="H284" t="s">
        <v>164</v>
      </c>
      <c r="L284">
        <v>2</v>
      </c>
      <c r="CA284" t="s">
        <v>583</v>
      </c>
      <c r="CB284" t="s">
        <v>116</v>
      </c>
      <c r="CC284" t="s">
        <v>152</v>
      </c>
      <c r="CD284" t="s">
        <v>124</v>
      </c>
      <c r="CL284">
        <v>2</v>
      </c>
    </row>
    <row r="285" spans="1:90">
      <c r="A285" t="s">
        <v>507</v>
      </c>
      <c r="B285" t="s">
        <v>162</v>
      </c>
      <c r="C285" t="s">
        <v>152</v>
      </c>
      <c r="D285" t="s">
        <v>124</v>
      </c>
      <c r="L285">
        <v>2</v>
      </c>
      <c r="CA285" t="s">
        <v>584</v>
      </c>
      <c r="CB285" t="s">
        <v>116</v>
      </c>
      <c r="CC285" t="s">
        <v>277</v>
      </c>
      <c r="CD285" t="s">
        <v>118</v>
      </c>
      <c r="CL285">
        <v>2</v>
      </c>
    </row>
    <row r="286" spans="1:90">
      <c r="A286" t="s">
        <v>508</v>
      </c>
      <c r="B286" t="s">
        <v>162</v>
      </c>
      <c r="C286" t="s">
        <v>149</v>
      </c>
      <c r="D286" t="s">
        <v>118</v>
      </c>
      <c r="L286">
        <v>2</v>
      </c>
      <c r="CA286" t="s">
        <v>585</v>
      </c>
      <c r="CB286" t="s">
        <v>116</v>
      </c>
      <c r="CC286" t="s">
        <v>152</v>
      </c>
      <c r="CD286" t="s">
        <v>124</v>
      </c>
      <c r="CF286" t="s">
        <v>273</v>
      </c>
      <c r="CH286" t="s">
        <v>164</v>
      </c>
      <c r="CL286">
        <v>2</v>
      </c>
    </row>
    <row r="287" spans="1:90">
      <c r="A287" t="s">
        <v>509</v>
      </c>
      <c r="B287" t="s">
        <v>162</v>
      </c>
      <c r="C287" t="s">
        <v>277</v>
      </c>
      <c r="D287" t="s">
        <v>124</v>
      </c>
      <c r="L287">
        <v>2</v>
      </c>
      <c r="CA287" t="s">
        <v>586</v>
      </c>
      <c r="CB287" t="s">
        <v>116</v>
      </c>
      <c r="CC287" t="s">
        <v>152</v>
      </c>
      <c r="CD287" t="s">
        <v>118</v>
      </c>
      <c r="CL287">
        <v>2</v>
      </c>
    </row>
    <row r="288" spans="1:90">
      <c r="A288" t="s">
        <v>510</v>
      </c>
      <c r="B288" t="s">
        <v>151</v>
      </c>
      <c r="C288" t="s">
        <v>149</v>
      </c>
      <c r="D288" t="s">
        <v>124</v>
      </c>
      <c r="E288" t="s">
        <v>235</v>
      </c>
      <c r="I288" t="s">
        <v>168</v>
      </c>
      <c r="J288" t="s">
        <v>168</v>
      </c>
      <c r="K288" t="s">
        <v>511</v>
      </c>
      <c r="L288">
        <v>2</v>
      </c>
      <c r="CA288" t="s">
        <v>587</v>
      </c>
      <c r="CB288" t="s">
        <v>116</v>
      </c>
      <c r="CC288" t="s">
        <v>277</v>
      </c>
      <c r="CD288" t="s">
        <v>118</v>
      </c>
      <c r="CL288">
        <v>2</v>
      </c>
    </row>
    <row r="289" spans="1:90">
      <c r="A289" t="s">
        <v>512</v>
      </c>
      <c r="B289" t="s">
        <v>151</v>
      </c>
      <c r="C289" t="s">
        <v>152</v>
      </c>
      <c r="D289" t="s">
        <v>124</v>
      </c>
      <c r="E289" t="s">
        <v>167</v>
      </c>
      <c r="I289" t="s">
        <v>168</v>
      </c>
      <c r="J289" t="s">
        <v>168</v>
      </c>
      <c r="K289" t="s">
        <v>513</v>
      </c>
      <c r="L289">
        <v>2</v>
      </c>
      <c r="CA289" t="s">
        <v>588</v>
      </c>
      <c r="CB289" t="s">
        <v>116</v>
      </c>
      <c r="CC289" t="s">
        <v>277</v>
      </c>
      <c r="CD289" t="s">
        <v>118</v>
      </c>
      <c r="CL289">
        <v>2</v>
      </c>
    </row>
    <row r="290" spans="1:90">
      <c r="A290" t="s">
        <v>514</v>
      </c>
      <c r="B290" t="s">
        <v>151</v>
      </c>
      <c r="C290" t="s">
        <v>152</v>
      </c>
      <c r="D290" t="s">
        <v>124</v>
      </c>
      <c r="E290" t="s">
        <v>153</v>
      </c>
      <c r="J290" t="s">
        <v>156</v>
      </c>
      <c r="K290" t="s">
        <v>157</v>
      </c>
      <c r="L290">
        <v>2</v>
      </c>
      <c r="CA290" t="s">
        <v>589</v>
      </c>
      <c r="CB290" t="s">
        <v>116</v>
      </c>
      <c r="CC290" t="s">
        <v>277</v>
      </c>
      <c r="CD290" t="s">
        <v>118</v>
      </c>
      <c r="CJ290" t="s">
        <v>181</v>
      </c>
      <c r="CK290" t="s">
        <v>590</v>
      </c>
      <c r="CL290">
        <v>2</v>
      </c>
    </row>
    <row r="291" spans="1:90">
      <c r="A291" t="s">
        <v>515</v>
      </c>
      <c r="B291" t="s">
        <v>151</v>
      </c>
      <c r="C291" t="s">
        <v>152</v>
      </c>
      <c r="D291" t="s">
        <v>124</v>
      </c>
      <c r="E291" t="s">
        <v>167</v>
      </c>
      <c r="I291" t="s">
        <v>418</v>
      </c>
      <c r="J291" t="s">
        <v>221</v>
      </c>
      <c r="K291" t="s">
        <v>306</v>
      </c>
      <c r="L291">
        <v>2</v>
      </c>
      <c r="CA291" t="s">
        <v>591</v>
      </c>
      <c r="CB291" t="s">
        <v>151</v>
      </c>
      <c r="CC291" t="s">
        <v>152</v>
      </c>
      <c r="CD291" t="s">
        <v>124</v>
      </c>
      <c r="CF291" t="s">
        <v>163</v>
      </c>
      <c r="CH291" t="s">
        <v>164</v>
      </c>
      <c r="CJ291" t="s">
        <v>168</v>
      </c>
      <c r="CK291" t="s">
        <v>592</v>
      </c>
      <c r="CL291">
        <v>2</v>
      </c>
    </row>
    <row r="292" spans="1:90">
      <c r="A292" t="s">
        <v>516</v>
      </c>
      <c r="B292" t="s">
        <v>151</v>
      </c>
      <c r="C292" t="s">
        <v>152</v>
      </c>
      <c r="D292" t="s">
        <v>124</v>
      </c>
      <c r="E292" t="s">
        <v>167</v>
      </c>
      <c r="I292" t="s">
        <v>221</v>
      </c>
      <c r="J292" t="s">
        <v>221</v>
      </c>
      <c r="K292" t="s">
        <v>517</v>
      </c>
      <c r="L292">
        <v>2</v>
      </c>
      <c r="CA292" t="s">
        <v>593</v>
      </c>
      <c r="CB292" t="s">
        <v>151</v>
      </c>
      <c r="CC292" t="s">
        <v>149</v>
      </c>
      <c r="CD292" t="s">
        <v>118</v>
      </c>
      <c r="CK292" t="s">
        <v>219</v>
      </c>
      <c r="CL292">
        <v>2</v>
      </c>
    </row>
    <row r="293" spans="1:90">
      <c r="A293" t="s">
        <v>518</v>
      </c>
      <c r="B293" t="s">
        <v>151</v>
      </c>
      <c r="C293" t="s">
        <v>152</v>
      </c>
      <c r="D293" t="s">
        <v>132</v>
      </c>
      <c r="E293" t="s">
        <v>153</v>
      </c>
      <c r="F293" t="s">
        <v>370</v>
      </c>
      <c r="G293" t="s">
        <v>519</v>
      </c>
      <c r="H293" t="s">
        <v>164</v>
      </c>
      <c r="I293" t="s">
        <v>418</v>
      </c>
      <c r="J293" t="s">
        <v>168</v>
      </c>
      <c r="K293" t="s">
        <v>187</v>
      </c>
      <c r="L293">
        <v>2</v>
      </c>
      <c r="CA293" t="s">
        <v>594</v>
      </c>
      <c r="CB293" t="s">
        <v>151</v>
      </c>
      <c r="CC293" t="s">
        <v>149</v>
      </c>
      <c r="CD293" t="s">
        <v>118</v>
      </c>
      <c r="CJ293" t="s">
        <v>168</v>
      </c>
      <c r="CK293" t="s">
        <v>219</v>
      </c>
      <c r="CL293">
        <v>2</v>
      </c>
    </row>
    <row r="294" spans="1:90">
      <c r="A294" t="s">
        <v>520</v>
      </c>
      <c r="B294" t="s">
        <v>151</v>
      </c>
      <c r="C294" t="s">
        <v>152</v>
      </c>
      <c r="D294" t="s">
        <v>132</v>
      </c>
      <c r="E294" t="s">
        <v>153</v>
      </c>
      <c r="I294" t="s">
        <v>181</v>
      </c>
      <c r="J294" t="s">
        <v>181</v>
      </c>
      <c r="K294" t="s">
        <v>207</v>
      </c>
      <c r="L294">
        <v>2</v>
      </c>
      <c r="CA294" t="s">
        <v>595</v>
      </c>
      <c r="CB294" t="s">
        <v>151</v>
      </c>
      <c r="CC294" t="s">
        <v>152</v>
      </c>
      <c r="CD294" t="s">
        <v>132</v>
      </c>
      <c r="CJ294" t="s">
        <v>168</v>
      </c>
      <c r="CK294" t="s">
        <v>596</v>
      </c>
      <c r="CL294">
        <v>2</v>
      </c>
    </row>
    <row r="295" spans="1:90">
      <c r="A295" t="s">
        <v>521</v>
      </c>
      <c r="B295" t="s">
        <v>151</v>
      </c>
      <c r="C295" t="s">
        <v>152</v>
      </c>
      <c r="D295" t="s">
        <v>132</v>
      </c>
      <c r="E295" t="s">
        <v>522</v>
      </c>
      <c r="I295" t="s">
        <v>189</v>
      </c>
      <c r="J295" t="s">
        <v>189</v>
      </c>
      <c r="K295" t="s">
        <v>523</v>
      </c>
      <c r="L295">
        <v>2</v>
      </c>
      <c r="CA295" t="s">
        <v>597</v>
      </c>
      <c r="CB295" t="s">
        <v>151</v>
      </c>
      <c r="CC295" t="s">
        <v>152</v>
      </c>
      <c r="CD295" t="s">
        <v>118</v>
      </c>
      <c r="CE295" t="s">
        <v>167</v>
      </c>
      <c r="CF295" t="s">
        <v>163</v>
      </c>
      <c r="CH295" t="s">
        <v>164</v>
      </c>
      <c r="CJ295" t="s">
        <v>189</v>
      </c>
      <c r="CK295" t="s">
        <v>598</v>
      </c>
      <c r="CL295">
        <v>2</v>
      </c>
    </row>
    <row r="296" spans="1:90">
      <c r="A296" t="s">
        <v>524</v>
      </c>
      <c r="B296" t="s">
        <v>151</v>
      </c>
      <c r="C296" t="s">
        <v>152</v>
      </c>
      <c r="D296" t="s">
        <v>124</v>
      </c>
      <c r="E296" t="s">
        <v>167</v>
      </c>
      <c r="I296" t="s">
        <v>168</v>
      </c>
      <c r="J296" t="s">
        <v>168</v>
      </c>
      <c r="K296" t="s">
        <v>468</v>
      </c>
      <c r="L296">
        <v>2</v>
      </c>
      <c r="CA296" t="s">
        <v>599</v>
      </c>
      <c r="CB296" t="s">
        <v>151</v>
      </c>
      <c r="CC296" t="s">
        <v>277</v>
      </c>
      <c r="CD296" t="s">
        <v>124</v>
      </c>
      <c r="CE296" t="s">
        <v>167</v>
      </c>
      <c r="CF296" t="s">
        <v>163</v>
      </c>
      <c r="CH296" t="s">
        <v>164</v>
      </c>
      <c r="CJ296" t="s">
        <v>221</v>
      </c>
      <c r="CK296" t="s">
        <v>192</v>
      </c>
      <c r="CL296">
        <v>2</v>
      </c>
    </row>
    <row r="297" spans="1:90">
      <c r="A297" t="s">
        <v>525</v>
      </c>
      <c r="B297" t="s">
        <v>151</v>
      </c>
      <c r="C297" t="s">
        <v>152</v>
      </c>
      <c r="D297" t="s">
        <v>124</v>
      </c>
      <c r="L297">
        <v>2</v>
      </c>
      <c r="CA297" t="s">
        <v>602</v>
      </c>
      <c r="CB297" t="s">
        <v>151</v>
      </c>
      <c r="CC297" t="s">
        <v>149</v>
      </c>
      <c r="CD297" t="s">
        <v>124</v>
      </c>
      <c r="CE297" t="s">
        <v>167</v>
      </c>
      <c r="CF297" t="s">
        <v>163</v>
      </c>
      <c r="CH297" t="s">
        <v>164</v>
      </c>
      <c r="CI297" t="s">
        <v>221</v>
      </c>
      <c r="CJ297" t="s">
        <v>189</v>
      </c>
      <c r="CK297" t="s">
        <v>603</v>
      </c>
      <c r="CL297">
        <v>2</v>
      </c>
    </row>
    <row r="298" spans="1:90">
      <c r="A298" t="s">
        <v>526</v>
      </c>
      <c r="B298" t="s">
        <v>151</v>
      </c>
      <c r="C298" t="s">
        <v>149</v>
      </c>
      <c r="D298" t="s">
        <v>124</v>
      </c>
      <c r="E298" t="s">
        <v>167</v>
      </c>
      <c r="I298" t="s">
        <v>181</v>
      </c>
      <c r="J298" t="s">
        <v>181</v>
      </c>
      <c r="K298" t="s">
        <v>192</v>
      </c>
      <c r="L298">
        <v>2</v>
      </c>
      <c r="CA298" t="s">
        <v>604</v>
      </c>
      <c r="CB298" t="s">
        <v>151</v>
      </c>
      <c r="CC298" t="s">
        <v>152</v>
      </c>
      <c r="CD298" t="s">
        <v>118</v>
      </c>
      <c r="CE298" t="s">
        <v>167</v>
      </c>
      <c r="CJ298" t="s">
        <v>186</v>
      </c>
      <c r="CK298" t="s">
        <v>605</v>
      </c>
      <c r="CL298">
        <v>2</v>
      </c>
    </row>
    <row r="299" spans="1:90">
      <c r="A299" t="s">
        <v>527</v>
      </c>
      <c r="B299" t="s">
        <v>151</v>
      </c>
      <c r="C299" t="s">
        <v>152</v>
      </c>
      <c r="D299" t="s">
        <v>124</v>
      </c>
      <c r="E299" t="s">
        <v>180</v>
      </c>
      <c r="I299" t="s">
        <v>168</v>
      </c>
      <c r="J299" t="s">
        <v>156</v>
      </c>
      <c r="K299" t="s">
        <v>349</v>
      </c>
      <c r="L299">
        <v>2</v>
      </c>
      <c r="CA299" t="s">
        <v>606</v>
      </c>
      <c r="CB299" t="s">
        <v>151</v>
      </c>
      <c r="CC299" t="s">
        <v>149</v>
      </c>
      <c r="CD299" t="s">
        <v>118</v>
      </c>
      <c r="CE299" t="s">
        <v>167</v>
      </c>
      <c r="CJ299" t="s">
        <v>181</v>
      </c>
      <c r="CK299" t="s">
        <v>192</v>
      </c>
      <c r="CL299">
        <v>2</v>
      </c>
    </row>
    <row r="300" spans="1:90">
      <c r="A300" t="s">
        <v>528</v>
      </c>
      <c r="B300" t="s">
        <v>151</v>
      </c>
      <c r="C300" t="s">
        <v>149</v>
      </c>
      <c r="D300" t="s">
        <v>143</v>
      </c>
      <c r="E300" t="s">
        <v>180</v>
      </c>
      <c r="J300" t="s">
        <v>181</v>
      </c>
      <c r="K300" t="s">
        <v>207</v>
      </c>
      <c r="L300">
        <v>2</v>
      </c>
      <c r="CA300" t="s">
        <v>608</v>
      </c>
      <c r="CB300" t="s">
        <v>151</v>
      </c>
      <c r="CC300" t="s">
        <v>152</v>
      </c>
      <c r="CD300" t="s">
        <v>124</v>
      </c>
      <c r="CL300">
        <v>2</v>
      </c>
    </row>
    <row r="301" spans="1:90">
      <c r="A301" t="s">
        <v>529</v>
      </c>
      <c r="B301" t="s">
        <v>151</v>
      </c>
      <c r="C301" t="s">
        <v>152</v>
      </c>
      <c r="D301" t="s">
        <v>124</v>
      </c>
      <c r="E301" t="s">
        <v>167</v>
      </c>
      <c r="I301" t="s">
        <v>418</v>
      </c>
      <c r="J301" t="s">
        <v>418</v>
      </c>
      <c r="K301" t="s">
        <v>419</v>
      </c>
      <c r="L301">
        <v>2</v>
      </c>
      <c r="CA301" t="s">
        <v>609</v>
      </c>
      <c r="CB301" t="s">
        <v>151</v>
      </c>
      <c r="CC301" t="s">
        <v>152</v>
      </c>
      <c r="CD301" t="s">
        <v>124</v>
      </c>
      <c r="CL301">
        <v>2</v>
      </c>
    </row>
    <row r="302" spans="1:90">
      <c r="A302" t="s">
        <v>530</v>
      </c>
      <c r="B302" t="s">
        <v>151</v>
      </c>
      <c r="C302" t="s">
        <v>149</v>
      </c>
      <c r="D302" t="s">
        <v>132</v>
      </c>
      <c r="E302" t="s">
        <v>210</v>
      </c>
      <c r="I302" t="s">
        <v>168</v>
      </c>
      <c r="J302" t="s">
        <v>181</v>
      </c>
      <c r="K302" t="s">
        <v>531</v>
      </c>
      <c r="L302">
        <v>2</v>
      </c>
      <c r="CA302" t="s">
        <v>611</v>
      </c>
      <c r="CB302" t="s">
        <v>160</v>
      </c>
      <c r="CC302" t="s">
        <v>117</v>
      </c>
      <c r="CD302" t="s">
        <v>118</v>
      </c>
      <c r="CL302">
        <v>2</v>
      </c>
    </row>
    <row r="303" spans="1:90">
      <c r="A303" t="s">
        <v>532</v>
      </c>
      <c r="B303" t="s">
        <v>151</v>
      </c>
      <c r="C303" t="s">
        <v>152</v>
      </c>
      <c r="D303" t="s">
        <v>124</v>
      </c>
      <c r="E303" t="s">
        <v>167</v>
      </c>
      <c r="I303" t="s">
        <v>186</v>
      </c>
      <c r="J303" t="s">
        <v>168</v>
      </c>
      <c r="K303" t="s">
        <v>468</v>
      </c>
      <c r="L303">
        <v>2</v>
      </c>
      <c r="CA303" t="s">
        <v>612</v>
      </c>
      <c r="CB303" t="s">
        <v>160</v>
      </c>
      <c r="CC303" t="s">
        <v>117</v>
      </c>
      <c r="CD303" t="s">
        <v>124</v>
      </c>
      <c r="CL303">
        <v>2</v>
      </c>
    </row>
    <row r="304" spans="1:90">
      <c r="A304" t="s">
        <v>533</v>
      </c>
      <c r="B304" t="s">
        <v>175</v>
      </c>
      <c r="C304" t="s">
        <v>149</v>
      </c>
      <c r="D304" t="s">
        <v>132</v>
      </c>
      <c r="E304" t="s">
        <v>167</v>
      </c>
      <c r="I304" t="s">
        <v>189</v>
      </c>
      <c r="J304" t="s">
        <v>189</v>
      </c>
      <c r="K304" t="s">
        <v>534</v>
      </c>
      <c r="L304">
        <v>2</v>
      </c>
      <c r="CA304" t="s">
        <v>613</v>
      </c>
      <c r="CB304" t="s">
        <v>160</v>
      </c>
      <c r="CC304" t="s">
        <v>120</v>
      </c>
      <c r="CD304" t="s">
        <v>118</v>
      </c>
      <c r="CL304">
        <v>2</v>
      </c>
    </row>
    <row r="305" spans="1:90">
      <c r="A305" t="s">
        <v>535</v>
      </c>
      <c r="B305" t="s">
        <v>175</v>
      </c>
      <c r="C305" t="s">
        <v>152</v>
      </c>
      <c r="D305" t="s">
        <v>124</v>
      </c>
      <c r="L305">
        <v>2</v>
      </c>
      <c r="CA305" t="s">
        <v>614</v>
      </c>
      <c r="CB305" t="s">
        <v>162</v>
      </c>
      <c r="CC305" t="s">
        <v>152</v>
      </c>
      <c r="CD305" t="s">
        <v>124</v>
      </c>
      <c r="CL305">
        <v>2</v>
      </c>
    </row>
    <row r="306" spans="1:90">
      <c r="A306" t="s">
        <v>536</v>
      </c>
      <c r="B306" t="s">
        <v>175</v>
      </c>
      <c r="C306" t="s">
        <v>152</v>
      </c>
      <c r="D306" t="s">
        <v>118</v>
      </c>
      <c r="L306">
        <v>2</v>
      </c>
      <c r="CA306" t="s">
        <v>615</v>
      </c>
      <c r="CB306" t="s">
        <v>162</v>
      </c>
      <c r="CC306" t="s">
        <v>152</v>
      </c>
      <c r="CD306" t="s">
        <v>124</v>
      </c>
      <c r="CL306">
        <v>2</v>
      </c>
    </row>
    <row r="307" spans="1:90">
      <c r="A307" t="s">
        <v>537</v>
      </c>
      <c r="B307" t="s">
        <v>175</v>
      </c>
      <c r="C307" t="s">
        <v>152</v>
      </c>
      <c r="D307" t="s">
        <v>118</v>
      </c>
      <c r="L307">
        <v>2</v>
      </c>
      <c r="CA307" t="s">
        <v>616</v>
      </c>
      <c r="CB307" t="s">
        <v>162</v>
      </c>
      <c r="CC307" t="s">
        <v>149</v>
      </c>
      <c r="CD307" t="s">
        <v>124</v>
      </c>
      <c r="CL307">
        <v>2</v>
      </c>
    </row>
    <row r="308" spans="1:90">
      <c r="A308" t="s">
        <v>538</v>
      </c>
      <c r="B308" t="s">
        <v>175</v>
      </c>
      <c r="C308" t="s">
        <v>152</v>
      </c>
      <c r="D308" t="s">
        <v>124</v>
      </c>
      <c r="L308">
        <v>2</v>
      </c>
      <c r="CA308" t="s">
        <v>617</v>
      </c>
      <c r="CB308" t="s">
        <v>162</v>
      </c>
      <c r="CC308" t="s">
        <v>149</v>
      </c>
      <c r="CD308" t="s">
        <v>124</v>
      </c>
      <c r="CL308">
        <v>2</v>
      </c>
    </row>
    <row r="309" spans="1:90">
      <c r="A309" t="s">
        <v>539</v>
      </c>
      <c r="B309" t="s">
        <v>175</v>
      </c>
      <c r="C309" t="s">
        <v>152</v>
      </c>
      <c r="D309" t="s">
        <v>118</v>
      </c>
      <c r="L309">
        <v>2</v>
      </c>
      <c r="CA309" t="s">
        <v>618</v>
      </c>
      <c r="CB309" t="s">
        <v>162</v>
      </c>
      <c r="CC309" t="s">
        <v>149</v>
      </c>
      <c r="CD309" t="s">
        <v>118</v>
      </c>
      <c r="CL309">
        <v>2</v>
      </c>
    </row>
    <row r="310" spans="1:90">
      <c r="A310" t="s">
        <v>540</v>
      </c>
      <c r="B310" t="s">
        <v>175</v>
      </c>
      <c r="C310" t="s">
        <v>152</v>
      </c>
      <c r="D310" t="s">
        <v>118</v>
      </c>
      <c r="L310">
        <v>2</v>
      </c>
      <c r="CA310" t="s">
        <v>620</v>
      </c>
      <c r="CB310" t="s">
        <v>151</v>
      </c>
      <c r="CC310" t="s">
        <v>149</v>
      </c>
      <c r="CD310" t="s">
        <v>118</v>
      </c>
      <c r="CE310" t="s">
        <v>167</v>
      </c>
      <c r="CI310" t="s">
        <v>181</v>
      </c>
      <c r="CJ310" t="s">
        <v>181</v>
      </c>
      <c r="CK310" t="s">
        <v>192</v>
      </c>
      <c r="CL310">
        <v>2</v>
      </c>
    </row>
    <row r="311" spans="1:90">
      <c r="A311" t="s">
        <v>541</v>
      </c>
      <c r="B311" t="s">
        <v>175</v>
      </c>
      <c r="C311" t="s">
        <v>152</v>
      </c>
      <c r="D311" t="s">
        <v>124</v>
      </c>
      <c r="E311" t="s">
        <v>167</v>
      </c>
      <c r="I311" t="s">
        <v>181</v>
      </c>
      <c r="J311" t="s">
        <v>181</v>
      </c>
      <c r="K311" t="s">
        <v>542</v>
      </c>
      <c r="L311">
        <v>2</v>
      </c>
      <c r="CA311" t="s">
        <v>623</v>
      </c>
      <c r="CB311" t="s">
        <v>151</v>
      </c>
      <c r="CC311" t="s">
        <v>149</v>
      </c>
      <c r="CD311" t="s">
        <v>118</v>
      </c>
      <c r="CL311">
        <v>2</v>
      </c>
    </row>
    <row r="312" spans="1:90">
      <c r="A312" t="s">
        <v>543</v>
      </c>
      <c r="B312" t="s">
        <v>175</v>
      </c>
      <c r="C312" t="s">
        <v>152</v>
      </c>
      <c r="D312" t="s">
        <v>124</v>
      </c>
      <c r="L312">
        <v>2</v>
      </c>
      <c r="CA312" t="s">
        <v>624</v>
      </c>
      <c r="CB312" t="s">
        <v>151</v>
      </c>
      <c r="CC312" t="s">
        <v>149</v>
      </c>
      <c r="CD312" t="s">
        <v>132</v>
      </c>
      <c r="CL312">
        <v>2</v>
      </c>
    </row>
    <row r="313" spans="1:90">
      <c r="A313" t="s">
        <v>544</v>
      </c>
      <c r="B313" t="s">
        <v>175</v>
      </c>
      <c r="C313" t="s">
        <v>152</v>
      </c>
      <c r="D313" t="s">
        <v>118</v>
      </c>
      <c r="E313" t="s">
        <v>167</v>
      </c>
      <c r="I313" t="s">
        <v>189</v>
      </c>
      <c r="J313" t="s">
        <v>189</v>
      </c>
      <c r="K313" t="s">
        <v>545</v>
      </c>
      <c r="L313">
        <v>2</v>
      </c>
      <c r="CA313" t="s">
        <v>625</v>
      </c>
      <c r="CB313" t="s">
        <v>151</v>
      </c>
      <c r="CC313" t="s">
        <v>277</v>
      </c>
      <c r="CD313" t="s">
        <v>132</v>
      </c>
      <c r="CE313" t="s">
        <v>167</v>
      </c>
      <c r="CI313" t="s">
        <v>221</v>
      </c>
      <c r="CJ313" t="s">
        <v>221</v>
      </c>
      <c r="CK313" t="s">
        <v>222</v>
      </c>
      <c r="CL313">
        <v>2</v>
      </c>
    </row>
    <row r="314" spans="1:90">
      <c r="A314" s="33" t="s">
        <v>546</v>
      </c>
      <c r="B314" s="33" t="s">
        <v>172</v>
      </c>
      <c r="C314" s="33" t="s">
        <v>152</v>
      </c>
      <c r="D314" s="33" t="s">
        <v>132</v>
      </c>
      <c r="E314" s="33"/>
      <c r="F314" s="33"/>
      <c r="G314" s="33"/>
      <c r="H314" s="33"/>
      <c r="L314">
        <v>2</v>
      </c>
      <c r="CA314" t="s">
        <v>626</v>
      </c>
      <c r="CB314" t="s">
        <v>151</v>
      </c>
      <c r="CC314" t="s">
        <v>149</v>
      </c>
      <c r="CD314" t="s">
        <v>124</v>
      </c>
      <c r="CE314" t="s">
        <v>167</v>
      </c>
      <c r="CI314" t="s">
        <v>168</v>
      </c>
      <c r="CJ314" t="s">
        <v>181</v>
      </c>
      <c r="CK314" t="s">
        <v>627</v>
      </c>
      <c r="CL314">
        <v>2</v>
      </c>
    </row>
    <row r="315" spans="1:90">
      <c r="A315" s="33" t="s">
        <v>547</v>
      </c>
      <c r="B315" s="33" t="s">
        <v>172</v>
      </c>
      <c r="C315" s="33" t="s">
        <v>149</v>
      </c>
      <c r="D315" s="33" t="s">
        <v>124</v>
      </c>
      <c r="E315" s="33"/>
      <c r="F315" s="33"/>
      <c r="G315" s="33"/>
      <c r="H315" s="33"/>
      <c r="L315">
        <v>2</v>
      </c>
      <c r="CA315" t="s">
        <v>628</v>
      </c>
      <c r="CB315" t="s">
        <v>151</v>
      </c>
      <c r="CC315" t="s">
        <v>149</v>
      </c>
      <c r="CD315" t="s">
        <v>124</v>
      </c>
      <c r="CL315">
        <v>2</v>
      </c>
    </row>
    <row r="316" spans="1:90">
      <c r="A316" s="33" t="s">
        <v>548</v>
      </c>
      <c r="B316" s="33" t="s">
        <v>172</v>
      </c>
      <c r="C316" s="33" t="s">
        <v>152</v>
      </c>
      <c r="D316" s="33" t="s">
        <v>124</v>
      </c>
      <c r="E316" s="33"/>
      <c r="F316" s="33"/>
      <c r="G316" s="33"/>
      <c r="H316" s="33"/>
      <c r="L316">
        <v>2</v>
      </c>
      <c r="CA316" t="s">
        <v>629</v>
      </c>
      <c r="CB316" t="s">
        <v>116</v>
      </c>
      <c r="CC316" t="s">
        <v>149</v>
      </c>
      <c r="CD316" t="s">
        <v>124</v>
      </c>
      <c r="CE316" t="s">
        <v>167</v>
      </c>
      <c r="CI316" t="s">
        <v>181</v>
      </c>
      <c r="CJ316" t="s">
        <v>181</v>
      </c>
      <c r="CK316" t="s">
        <v>169</v>
      </c>
      <c r="CL316">
        <v>2</v>
      </c>
    </row>
    <row r="317" spans="1:90">
      <c r="A317" s="33" t="s">
        <v>549</v>
      </c>
      <c r="B317" s="33" t="s">
        <v>172</v>
      </c>
      <c r="C317" s="33" t="s">
        <v>152</v>
      </c>
      <c r="D317" s="33" t="s">
        <v>118</v>
      </c>
      <c r="E317" s="33"/>
      <c r="F317" s="33"/>
      <c r="G317" s="33"/>
      <c r="H317" s="33"/>
      <c r="L317">
        <v>2</v>
      </c>
      <c r="CA317" t="s">
        <v>633</v>
      </c>
      <c r="CB317" t="s">
        <v>151</v>
      </c>
      <c r="CC317" t="s">
        <v>149</v>
      </c>
      <c r="CD317" t="s">
        <v>124</v>
      </c>
      <c r="CE317" t="s">
        <v>167</v>
      </c>
      <c r="CI317" t="s">
        <v>168</v>
      </c>
      <c r="CJ317" t="s">
        <v>168</v>
      </c>
      <c r="CK317" t="s">
        <v>634</v>
      </c>
      <c r="CL317">
        <v>2</v>
      </c>
    </row>
    <row r="318" spans="1:90">
      <c r="A318" s="33" t="s">
        <v>550</v>
      </c>
      <c r="B318" s="33" t="s">
        <v>172</v>
      </c>
      <c r="C318" s="33" t="s">
        <v>152</v>
      </c>
      <c r="D318" s="33" t="s">
        <v>118</v>
      </c>
      <c r="E318" s="33" t="s">
        <v>167</v>
      </c>
      <c r="F318" s="33"/>
      <c r="G318" s="33"/>
      <c r="H318" s="33"/>
      <c r="I318" t="s">
        <v>181</v>
      </c>
      <c r="J318" t="s">
        <v>181</v>
      </c>
      <c r="K318" t="s">
        <v>442</v>
      </c>
      <c r="L318">
        <v>2</v>
      </c>
      <c r="CA318" t="s">
        <v>635</v>
      </c>
      <c r="CB318" t="s">
        <v>151</v>
      </c>
      <c r="CC318" t="s">
        <v>152</v>
      </c>
      <c r="CD318" t="s">
        <v>124</v>
      </c>
      <c r="CE318" t="s">
        <v>167</v>
      </c>
      <c r="CI318" t="s">
        <v>168</v>
      </c>
      <c r="CJ318" t="s">
        <v>168</v>
      </c>
      <c r="CK318" t="s">
        <v>636</v>
      </c>
      <c r="CL318">
        <v>2</v>
      </c>
    </row>
    <row r="319" spans="1:90">
      <c r="A319" s="33" t="s">
        <v>551</v>
      </c>
      <c r="B319" s="33" t="s">
        <v>172</v>
      </c>
      <c r="C319" s="33" t="s">
        <v>152</v>
      </c>
      <c r="D319" s="33" t="s">
        <v>124</v>
      </c>
      <c r="E319" s="33"/>
      <c r="F319" s="33"/>
      <c r="G319" s="33"/>
      <c r="H319" s="33"/>
      <c r="L319">
        <v>2</v>
      </c>
      <c r="CA319" t="s">
        <v>639</v>
      </c>
      <c r="CB319" t="s">
        <v>151</v>
      </c>
      <c r="CC319" t="s">
        <v>277</v>
      </c>
      <c r="CD319" t="s">
        <v>132</v>
      </c>
      <c r="CE319" t="s">
        <v>167</v>
      </c>
      <c r="CI319" t="s">
        <v>221</v>
      </c>
      <c r="CJ319" t="s">
        <v>221</v>
      </c>
      <c r="CK319" t="s">
        <v>640</v>
      </c>
      <c r="CL319">
        <v>2</v>
      </c>
    </row>
    <row r="320" spans="1:90">
      <c r="A320" s="33" t="s">
        <v>552</v>
      </c>
      <c r="B320" s="33" t="s">
        <v>172</v>
      </c>
      <c r="C320" s="33" t="s">
        <v>152</v>
      </c>
      <c r="D320" s="33" t="s">
        <v>118</v>
      </c>
      <c r="E320" s="33"/>
      <c r="F320" s="33"/>
      <c r="G320" s="33"/>
      <c r="H320" s="33"/>
      <c r="L320">
        <v>2</v>
      </c>
      <c r="CA320" t="s">
        <v>643</v>
      </c>
      <c r="CB320" t="s">
        <v>175</v>
      </c>
      <c r="CC320" t="s">
        <v>152</v>
      </c>
      <c r="CD320" t="s">
        <v>118</v>
      </c>
      <c r="CL320">
        <v>2</v>
      </c>
    </row>
    <row r="321" spans="1:90">
      <c r="A321" s="33" t="s">
        <v>553</v>
      </c>
      <c r="B321" s="33" t="s">
        <v>172</v>
      </c>
      <c r="C321" s="33" t="s">
        <v>149</v>
      </c>
      <c r="D321" s="33" t="s">
        <v>124</v>
      </c>
      <c r="E321" s="33" t="s">
        <v>180</v>
      </c>
      <c r="F321" s="33"/>
      <c r="G321" s="33"/>
      <c r="H321" s="33"/>
      <c r="I321" t="s">
        <v>156</v>
      </c>
      <c r="J321" t="s">
        <v>156</v>
      </c>
      <c r="K321" t="s">
        <v>224</v>
      </c>
      <c r="L321">
        <v>2</v>
      </c>
      <c r="CA321" t="s">
        <v>644</v>
      </c>
      <c r="CB321" t="s">
        <v>175</v>
      </c>
      <c r="CC321" t="s">
        <v>152</v>
      </c>
      <c r="CD321" t="s">
        <v>118</v>
      </c>
      <c r="CL321">
        <v>2</v>
      </c>
    </row>
    <row r="322" spans="1:90">
      <c r="A322" s="33" t="s">
        <v>554</v>
      </c>
      <c r="B322" s="33" t="s">
        <v>172</v>
      </c>
      <c r="C322" s="33" t="s">
        <v>149</v>
      </c>
      <c r="D322" s="33" t="s">
        <v>124</v>
      </c>
      <c r="E322" s="33"/>
      <c r="F322" s="33"/>
      <c r="G322" s="33"/>
      <c r="H322" s="33"/>
      <c r="L322">
        <v>2</v>
      </c>
      <c r="CA322" t="s">
        <v>645</v>
      </c>
      <c r="CB322" t="s">
        <v>175</v>
      </c>
      <c r="CC322" t="s">
        <v>152</v>
      </c>
      <c r="CD322" t="s">
        <v>124</v>
      </c>
      <c r="CL322">
        <v>2</v>
      </c>
    </row>
    <row r="323" spans="1:90">
      <c r="A323" s="33" t="s">
        <v>555</v>
      </c>
      <c r="B323" s="33" t="s">
        <v>172</v>
      </c>
      <c r="C323" s="33" t="s">
        <v>149</v>
      </c>
      <c r="D323" s="33" t="s">
        <v>124</v>
      </c>
      <c r="E323" s="33"/>
      <c r="F323" s="33"/>
      <c r="G323" s="33"/>
      <c r="H323" s="33"/>
      <c r="L323">
        <v>2</v>
      </c>
      <c r="CA323" t="s">
        <v>646</v>
      </c>
      <c r="CB323" t="s">
        <v>175</v>
      </c>
      <c r="CC323" t="s">
        <v>152</v>
      </c>
      <c r="CD323" t="s">
        <v>118</v>
      </c>
      <c r="CL323">
        <v>2</v>
      </c>
    </row>
    <row r="324" spans="1:90">
      <c r="A324" s="33" t="s">
        <v>556</v>
      </c>
      <c r="B324" s="33" t="s">
        <v>172</v>
      </c>
      <c r="C324" s="33" t="s">
        <v>149</v>
      </c>
      <c r="D324" s="33" t="s">
        <v>118</v>
      </c>
      <c r="E324" s="33"/>
      <c r="F324" s="33"/>
      <c r="G324" s="33"/>
      <c r="H324" s="33"/>
      <c r="L324">
        <v>2</v>
      </c>
      <c r="CA324" t="s">
        <v>647</v>
      </c>
      <c r="CB324" t="s">
        <v>175</v>
      </c>
      <c r="CC324" t="s">
        <v>152</v>
      </c>
      <c r="CD324" t="s">
        <v>118</v>
      </c>
      <c r="CL324">
        <v>2</v>
      </c>
    </row>
    <row r="325" spans="1:90">
      <c r="A325" s="33" t="s">
        <v>557</v>
      </c>
      <c r="B325" s="33" t="s">
        <v>172</v>
      </c>
      <c r="C325" s="33" t="s">
        <v>152</v>
      </c>
      <c r="D325" s="33" t="s">
        <v>118</v>
      </c>
      <c r="E325" s="33"/>
      <c r="F325" s="33"/>
      <c r="G325" s="33"/>
      <c r="H325" s="33"/>
      <c r="L325">
        <v>2</v>
      </c>
      <c r="CA325" t="s">
        <v>648</v>
      </c>
      <c r="CB325" t="s">
        <v>175</v>
      </c>
      <c r="CC325" t="s">
        <v>152</v>
      </c>
      <c r="CD325" t="s">
        <v>124</v>
      </c>
      <c r="CF325" t="s">
        <v>163</v>
      </c>
      <c r="CH325" t="s">
        <v>164</v>
      </c>
      <c r="CL325">
        <v>2</v>
      </c>
    </row>
    <row r="326" spans="1:90">
      <c r="A326" s="33" t="s">
        <v>558</v>
      </c>
      <c r="B326" s="33" t="s">
        <v>172</v>
      </c>
      <c r="C326" s="33" t="s">
        <v>152</v>
      </c>
      <c r="D326" s="33" t="s">
        <v>124</v>
      </c>
      <c r="E326" s="33"/>
      <c r="F326" s="33"/>
      <c r="G326" s="33"/>
      <c r="H326" s="33"/>
      <c r="L326">
        <v>2</v>
      </c>
      <c r="CA326" t="s">
        <v>649</v>
      </c>
      <c r="CB326" t="s">
        <v>175</v>
      </c>
      <c r="CC326" t="s">
        <v>152</v>
      </c>
      <c r="CD326" t="s">
        <v>118</v>
      </c>
      <c r="CL326">
        <v>2</v>
      </c>
    </row>
    <row r="327" spans="1:90">
      <c r="A327" t="s">
        <v>559</v>
      </c>
      <c r="B327" t="s">
        <v>279</v>
      </c>
      <c r="C327" t="s">
        <v>149</v>
      </c>
      <c r="D327" t="s">
        <v>124</v>
      </c>
      <c r="L327">
        <v>2</v>
      </c>
      <c r="CA327" t="s">
        <v>650</v>
      </c>
      <c r="CB327" t="s">
        <v>175</v>
      </c>
      <c r="CC327" t="s">
        <v>152</v>
      </c>
      <c r="CD327" t="s">
        <v>124</v>
      </c>
      <c r="CL327">
        <v>2</v>
      </c>
    </row>
    <row r="328" spans="1:90">
      <c r="A328" t="s">
        <v>560</v>
      </c>
      <c r="B328" t="s">
        <v>279</v>
      </c>
      <c r="C328" t="s">
        <v>216</v>
      </c>
      <c r="D328" t="s">
        <v>118</v>
      </c>
      <c r="L328">
        <v>2</v>
      </c>
      <c r="CA328" t="s">
        <v>651</v>
      </c>
      <c r="CB328" t="s">
        <v>175</v>
      </c>
      <c r="CC328" t="s">
        <v>149</v>
      </c>
      <c r="CD328" t="s">
        <v>118</v>
      </c>
      <c r="CL328">
        <v>2</v>
      </c>
    </row>
    <row r="329" spans="1:90">
      <c r="A329" t="s">
        <v>561</v>
      </c>
      <c r="B329" t="s">
        <v>279</v>
      </c>
      <c r="C329" t="s">
        <v>152</v>
      </c>
      <c r="D329" t="s">
        <v>124</v>
      </c>
      <c r="L329">
        <v>2</v>
      </c>
      <c r="CA329" s="33" t="s">
        <v>652</v>
      </c>
      <c r="CB329" s="33" t="s">
        <v>172</v>
      </c>
      <c r="CC329" s="33" t="s">
        <v>152</v>
      </c>
      <c r="CD329" s="33" t="s">
        <v>124</v>
      </c>
      <c r="CE329" s="33"/>
      <c r="CF329" s="33"/>
      <c r="CG329" s="33"/>
      <c r="CH329" s="33"/>
      <c r="CL329">
        <v>2</v>
      </c>
    </row>
    <row r="330" spans="1:90">
      <c r="A330" t="s">
        <v>562</v>
      </c>
      <c r="B330" t="s">
        <v>279</v>
      </c>
      <c r="C330" t="s">
        <v>152</v>
      </c>
      <c r="D330" t="s">
        <v>118</v>
      </c>
      <c r="L330">
        <v>2</v>
      </c>
      <c r="CA330" s="33" t="s">
        <v>656</v>
      </c>
      <c r="CB330" s="33" t="s">
        <v>172</v>
      </c>
      <c r="CC330" s="33" t="s">
        <v>152</v>
      </c>
      <c r="CD330" s="33" t="s">
        <v>124</v>
      </c>
      <c r="CE330" s="33"/>
      <c r="CF330" s="33"/>
      <c r="CG330" s="33"/>
      <c r="CH330" s="33"/>
      <c r="CL330">
        <v>2</v>
      </c>
    </row>
    <row r="331" spans="1:90">
      <c r="A331" s="33" t="s">
        <v>563</v>
      </c>
      <c r="B331" s="33" t="s">
        <v>279</v>
      </c>
      <c r="C331" t="s">
        <v>152</v>
      </c>
      <c r="D331" t="s">
        <v>124</v>
      </c>
      <c r="F331" s="33"/>
      <c r="L331">
        <v>2</v>
      </c>
      <c r="CA331" s="33" t="s">
        <v>658</v>
      </c>
      <c r="CB331" s="33" t="s">
        <v>172</v>
      </c>
      <c r="CC331" s="33" t="s">
        <v>152</v>
      </c>
      <c r="CD331" s="33" t="s">
        <v>138</v>
      </c>
      <c r="CE331" s="33"/>
      <c r="CF331" s="33"/>
      <c r="CG331" s="33"/>
      <c r="CH331" s="33"/>
      <c r="CL331">
        <v>2</v>
      </c>
    </row>
    <row r="332" spans="1:90">
      <c r="A332" t="s">
        <v>564</v>
      </c>
      <c r="B332" t="s">
        <v>279</v>
      </c>
      <c r="C332" t="s">
        <v>152</v>
      </c>
      <c r="D332" t="s">
        <v>124</v>
      </c>
      <c r="L332">
        <v>2</v>
      </c>
      <c r="CA332" s="33" t="s">
        <v>659</v>
      </c>
      <c r="CB332" s="33" t="s">
        <v>172</v>
      </c>
      <c r="CC332" s="33" t="s">
        <v>149</v>
      </c>
      <c r="CD332" s="33" t="s">
        <v>124</v>
      </c>
      <c r="CE332" s="33"/>
      <c r="CF332" s="33"/>
      <c r="CG332" s="33"/>
      <c r="CH332" s="33"/>
      <c r="CL332">
        <v>2</v>
      </c>
    </row>
    <row r="333" spans="1:90">
      <c r="A333" t="s">
        <v>565</v>
      </c>
      <c r="B333" t="s">
        <v>279</v>
      </c>
      <c r="C333" t="s">
        <v>152</v>
      </c>
      <c r="D333" t="s">
        <v>118</v>
      </c>
      <c r="L333">
        <v>2</v>
      </c>
      <c r="CA333" s="33" t="s">
        <v>660</v>
      </c>
      <c r="CB333" s="33" t="s">
        <v>172</v>
      </c>
      <c r="CC333" s="33" t="s">
        <v>149</v>
      </c>
      <c r="CD333" s="33" t="s">
        <v>124</v>
      </c>
      <c r="CE333" s="33"/>
      <c r="CF333" s="33"/>
      <c r="CG333" s="33"/>
      <c r="CH333" s="33"/>
      <c r="CL333">
        <v>2</v>
      </c>
    </row>
    <row r="334" spans="1:90">
      <c r="A334" t="s">
        <v>566</v>
      </c>
      <c r="B334" t="s">
        <v>279</v>
      </c>
      <c r="C334" t="s">
        <v>152</v>
      </c>
      <c r="D334" t="s">
        <v>124</v>
      </c>
      <c r="L334">
        <v>2</v>
      </c>
      <c r="CA334" s="33" t="s">
        <v>661</v>
      </c>
      <c r="CB334" s="33" t="s">
        <v>172</v>
      </c>
      <c r="CC334" s="33" t="s">
        <v>149</v>
      </c>
      <c r="CD334" s="33" t="s">
        <v>124</v>
      </c>
      <c r="CE334" s="33"/>
      <c r="CF334" s="33"/>
      <c r="CG334" s="33"/>
      <c r="CH334" s="33"/>
      <c r="CL334">
        <v>2</v>
      </c>
    </row>
    <row r="335" spans="1:90">
      <c r="A335" t="s">
        <v>567</v>
      </c>
      <c r="B335" t="s">
        <v>279</v>
      </c>
      <c r="C335" t="s">
        <v>152</v>
      </c>
      <c r="D335" t="s">
        <v>118</v>
      </c>
      <c r="L335">
        <v>2</v>
      </c>
      <c r="CA335" s="33" t="s">
        <v>662</v>
      </c>
      <c r="CB335" s="33" t="s">
        <v>172</v>
      </c>
      <c r="CC335" s="33" t="s">
        <v>149</v>
      </c>
      <c r="CD335" s="33" t="s">
        <v>118</v>
      </c>
      <c r="CE335" s="33"/>
      <c r="CF335" s="33"/>
      <c r="CG335" s="33"/>
      <c r="CH335" s="33"/>
      <c r="CL335">
        <v>2</v>
      </c>
    </row>
    <row r="336" spans="1:90">
      <c r="A336" t="s">
        <v>568</v>
      </c>
      <c r="B336" t="s">
        <v>116</v>
      </c>
      <c r="C336" t="s">
        <v>277</v>
      </c>
      <c r="D336" t="s">
        <v>118</v>
      </c>
      <c r="J336" t="s">
        <v>221</v>
      </c>
      <c r="K336" t="s">
        <v>569</v>
      </c>
      <c r="L336">
        <v>2</v>
      </c>
      <c r="CA336" s="33" t="s">
        <v>663</v>
      </c>
      <c r="CB336" s="33" t="s">
        <v>172</v>
      </c>
      <c r="CC336" s="33" t="s">
        <v>216</v>
      </c>
      <c r="CD336" s="33" t="s">
        <v>132</v>
      </c>
      <c r="CE336" s="33"/>
      <c r="CF336" s="33"/>
      <c r="CG336" s="33"/>
      <c r="CH336" s="33"/>
      <c r="CL336">
        <v>2</v>
      </c>
    </row>
    <row r="337" spans="1:90">
      <c r="A337" t="s">
        <v>570</v>
      </c>
      <c r="B337" t="s">
        <v>151</v>
      </c>
      <c r="C337" t="s">
        <v>152</v>
      </c>
      <c r="D337" t="s">
        <v>118</v>
      </c>
      <c r="L337">
        <v>2</v>
      </c>
      <c r="CA337" s="33" t="s">
        <v>664</v>
      </c>
      <c r="CB337" s="33" t="s">
        <v>172</v>
      </c>
      <c r="CC337" s="33" t="s">
        <v>152</v>
      </c>
      <c r="CD337" s="33" t="s">
        <v>118</v>
      </c>
      <c r="CE337" s="33"/>
      <c r="CF337" s="33"/>
      <c r="CG337" s="33"/>
      <c r="CH337" s="33"/>
      <c r="CL337">
        <v>2</v>
      </c>
    </row>
    <row r="338" spans="1:90">
      <c r="A338" t="s">
        <v>571</v>
      </c>
      <c r="B338" t="s">
        <v>151</v>
      </c>
      <c r="C338" t="s">
        <v>149</v>
      </c>
      <c r="D338" t="s">
        <v>132</v>
      </c>
      <c r="E338" t="s">
        <v>153</v>
      </c>
      <c r="J338" t="s">
        <v>168</v>
      </c>
      <c r="K338" t="s">
        <v>572</v>
      </c>
      <c r="L338">
        <v>2</v>
      </c>
      <c r="CA338" s="33" t="s">
        <v>665</v>
      </c>
      <c r="CB338" s="33" t="s">
        <v>172</v>
      </c>
      <c r="CC338" s="33" t="s">
        <v>149</v>
      </c>
      <c r="CD338" s="33" t="s">
        <v>124</v>
      </c>
      <c r="CE338" s="33"/>
      <c r="CF338" s="33"/>
      <c r="CG338" s="33"/>
      <c r="CH338" s="33"/>
      <c r="CL338">
        <v>2</v>
      </c>
    </row>
    <row r="339" spans="1:90">
      <c r="A339" t="s">
        <v>573</v>
      </c>
      <c r="B339" t="s">
        <v>151</v>
      </c>
      <c r="C339" t="s">
        <v>149</v>
      </c>
      <c r="D339" t="s">
        <v>124</v>
      </c>
      <c r="E339" t="s">
        <v>153</v>
      </c>
      <c r="J339" t="s">
        <v>181</v>
      </c>
      <c r="K339" t="s">
        <v>207</v>
      </c>
      <c r="L339">
        <v>2</v>
      </c>
      <c r="CA339" s="33" t="s">
        <v>666</v>
      </c>
      <c r="CB339" s="33" t="s">
        <v>172</v>
      </c>
      <c r="CC339" s="33" t="s">
        <v>149</v>
      </c>
      <c r="CD339" s="33" t="s">
        <v>118</v>
      </c>
      <c r="CE339" s="33"/>
      <c r="CF339" s="33"/>
      <c r="CG339" s="33"/>
      <c r="CH339" s="33"/>
      <c r="CL339">
        <v>2</v>
      </c>
    </row>
    <row r="340" spans="1:90">
      <c r="A340" t="s">
        <v>574</v>
      </c>
      <c r="B340" t="s">
        <v>151</v>
      </c>
      <c r="C340" t="s">
        <v>149</v>
      </c>
      <c r="D340" t="s">
        <v>118</v>
      </c>
      <c r="E340" t="s">
        <v>153</v>
      </c>
      <c r="J340" t="s">
        <v>156</v>
      </c>
      <c r="K340" t="s">
        <v>575</v>
      </c>
      <c r="L340">
        <v>2</v>
      </c>
      <c r="CA340" t="s">
        <v>667</v>
      </c>
      <c r="CB340" t="s">
        <v>279</v>
      </c>
      <c r="CC340" t="s">
        <v>149</v>
      </c>
      <c r="CD340" t="s">
        <v>118</v>
      </c>
      <c r="CL340">
        <v>2</v>
      </c>
    </row>
    <row r="341" spans="1:90">
      <c r="A341" t="s">
        <v>576</v>
      </c>
      <c r="B341" t="s">
        <v>151</v>
      </c>
      <c r="C341" t="s">
        <v>149</v>
      </c>
      <c r="D341" t="s">
        <v>118</v>
      </c>
      <c r="E341" t="s">
        <v>153</v>
      </c>
      <c r="I341" t="s">
        <v>168</v>
      </c>
      <c r="J341" t="s">
        <v>168</v>
      </c>
      <c r="K341" t="s">
        <v>577</v>
      </c>
      <c r="L341">
        <v>2</v>
      </c>
      <c r="CA341" t="s">
        <v>668</v>
      </c>
      <c r="CB341" t="s">
        <v>279</v>
      </c>
      <c r="CC341" t="s">
        <v>152</v>
      </c>
      <c r="CD341" t="s">
        <v>124</v>
      </c>
      <c r="CL341">
        <v>2</v>
      </c>
    </row>
    <row r="342" spans="1:90">
      <c r="A342" t="s">
        <v>578</v>
      </c>
      <c r="B342" t="s">
        <v>151</v>
      </c>
      <c r="C342" t="s">
        <v>152</v>
      </c>
      <c r="D342" t="s">
        <v>143</v>
      </c>
      <c r="E342" t="s">
        <v>153</v>
      </c>
      <c r="I342" t="s">
        <v>168</v>
      </c>
      <c r="J342" t="s">
        <v>181</v>
      </c>
      <c r="K342" t="s">
        <v>207</v>
      </c>
      <c r="L342">
        <v>2</v>
      </c>
      <c r="CA342" t="s">
        <v>669</v>
      </c>
      <c r="CB342" t="s">
        <v>279</v>
      </c>
      <c r="CC342" t="s">
        <v>152</v>
      </c>
      <c r="CD342" t="s">
        <v>118</v>
      </c>
      <c r="CL342">
        <v>2</v>
      </c>
    </row>
    <row r="343" spans="1:90">
      <c r="A343" t="s">
        <v>579</v>
      </c>
      <c r="B343" t="s">
        <v>151</v>
      </c>
      <c r="C343" t="s">
        <v>149</v>
      </c>
      <c r="D343" t="s">
        <v>124</v>
      </c>
      <c r="E343" t="s">
        <v>180</v>
      </c>
      <c r="I343" t="s">
        <v>221</v>
      </c>
      <c r="J343" t="s">
        <v>181</v>
      </c>
      <c r="K343" t="s">
        <v>580</v>
      </c>
      <c r="L343">
        <v>2</v>
      </c>
      <c r="CA343" t="s">
        <v>670</v>
      </c>
      <c r="CB343" t="s">
        <v>279</v>
      </c>
      <c r="CC343" t="s">
        <v>152</v>
      </c>
      <c r="CD343" t="s">
        <v>118</v>
      </c>
      <c r="CL343">
        <v>2</v>
      </c>
    </row>
    <row r="344" spans="1:90">
      <c r="A344" t="s">
        <v>581</v>
      </c>
      <c r="B344" t="s">
        <v>116</v>
      </c>
      <c r="C344" t="s">
        <v>117</v>
      </c>
      <c r="D344" t="s">
        <v>124</v>
      </c>
      <c r="L344">
        <v>2</v>
      </c>
      <c r="CA344" t="s">
        <v>671</v>
      </c>
      <c r="CB344" t="s">
        <v>279</v>
      </c>
      <c r="CC344" t="s">
        <v>152</v>
      </c>
      <c r="CD344" t="s">
        <v>118</v>
      </c>
      <c r="CL344">
        <v>2</v>
      </c>
    </row>
    <row r="345" spans="1:90">
      <c r="A345" t="s">
        <v>582</v>
      </c>
      <c r="B345" t="s">
        <v>116</v>
      </c>
      <c r="C345" t="s">
        <v>120</v>
      </c>
      <c r="D345" t="s">
        <v>118</v>
      </c>
      <c r="L345">
        <v>2</v>
      </c>
      <c r="CA345" t="s">
        <v>672</v>
      </c>
      <c r="CB345" t="s">
        <v>279</v>
      </c>
      <c r="CC345" t="s">
        <v>149</v>
      </c>
      <c r="CD345" t="s">
        <v>124</v>
      </c>
      <c r="CL345">
        <v>2</v>
      </c>
    </row>
    <row r="346" spans="1:90">
      <c r="A346" t="s">
        <v>583</v>
      </c>
      <c r="B346" t="s">
        <v>116</v>
      </c>
      <c r="C346" t="s">
        <v>152</v>
      </c>
      <c r="D346" t="s">
        <v>124</v>
      </c>
      <c r="L346">
        <v>2</v>
      </c>
      <c r="CA346" t="s">
        <v>673</v>
      </c>
      <c r="CB346" t="s">
        <v>279</v>
      </c>
      <c r="CC346" t="s">
        <v>149</v>
      </c>
      <c r="CD346" t="s">
        <v>118</v>
      </c>
      <c r="CL346">
        <v>2</v>
      </c>
    </row>
    <row r="347" spans="1:90">
      <c r="A347" t="s">
        <v>584</v>
      </c>
      <c r="B347" t="s">
        <v>116</v>
      </c>
      <c r="C347" t="s">
        <v>277</v>
      </c>
      <c r="D347" t="s">
        <v>118</v>
      </c>
      <c r="L347">
        <v>2</v>
      </c>
      <c r="CA347" t="s">
        <v>674</v>
      </c>
      <c r="CB347" t="s">
        <v>279</v>
      </c>
      <c r="CC347" t="s">
        <v>152</v>
      </c>
      <c r="CD347" t="s">
        <v>118</v>
      </c>
      <c r="CL347">
        <v>2</v>
      </c>
    </row>
    <row r="348" spans="1:90">
      <c r="A348" t="s">
        <v>585</v>
      </c>
      <c r="B348" t="s">
        <v>116</v>
      </c>
      <c r="C348" t="s">
        <v>152</v>
      </c>
      <c r="D348" t="s">
        <v>124</v>
      </c>
      <c r="F348" t="s">
        <v>273</v>
      </c>
      <c r="H348" t="s">
        <v>164</v>
      </c>
      <c r="L348">
        <v>2</v>
      </c>
      <c r="CA348" t="s">
        <v>675</v>
      </c>
      <c r="CB348" t="s">
        <v>279</v>
      </c>
      <c r="CC348" t="s">
        <v>277</v>
      </c>
      <c r="CD348" t="s">
        <v>124</v>
      </c>
      <c r="CL348">
        <v>2</v>
      </c>
    </row>
    <row r="349" spans="1:90">
      <c r="A349" t="s">
        <v>586</v>
      </c>
      <c r="B349" t="s">
        <v>116</v>
      </c>
      <c r="C349" t="s">
        <v>152</v>
      </c>
      <c r="D349" t="s">
        <v>118</v>
      </c>
      <c r="L349">
        <v>2</v>
      </c>
      <c r="CA349" t="s">
        <v>676</v>
      </c>
      <c r="CB349" t="s">
        <v>279</v>
      </c>
      <c r="CC349" t="s">
        <v>149</v>
      </c>
      <c r="CD349" t="s">
        <v>124</v>
      </c>
      <c r="CL349">
        <v>2</v>
      </c>
    </row>
    <row r="350" spans="1:90">
      <c r="A350" t="s">
        <v>587</v>
      </c>
      <c r="B350" t="s">
        <v>116</v>
      </c>
      <c r="C350" t="s">
        <v>277</v>
      </c>
      <c r="D350" t="s">
        <v>118</v>
      </c>
      <c r="L350">
        <v>2</v>
      </c>
      <c r="CA350" t="s">
        <v>677</v>
      </c>
      <c r="CB350" t="s">
        <v>215</v>
      </c>
      <c r="CC350" t="s">
        <v>152</v>
      </c>
      <c r="CD350" t="s">
        <v>118</v>
      </c>
      <c r="CL350">
        <v>2</v>
      </c>
    </row>
    <row r="351" spans="1:90">
      <c r="A351" t="s">
        <v>588</v>
      </c>
      <c r="B351" t="s">
        <v>116</v>
      </c>
      <c r="C351" t="s">
        <v>277</v>
      </c>
      <c r="D351" t="s">
        <v>118</v>
      </c>
      <c r="L351">
        <v>2</v>
      </c>
      <c r="CA351" t="s">
        <v>678</v>
      </c>
      <c r="CB351" t="s">
        <v>215</v>
      </c>
      <c r="CC351" t="s">
        <v>149</v>
      </c>
      <c r="CD351" t="s">
        <v>124</v>
      </c>
      <c r="CL351">
        <v>2</v>
      </c>
    </row>
    <row r="352" spans="1:90">
      <c r="A352" t="s">
        <v>589</v>
      </c>
      <c r="B352" t="s">
        <v>116</v>
      </c>
      <c r="C352" t="s">
        <v>277</v>
      </c>
      <c r="D352" t="s">
        <v>118</v>
      </c>
      <c r="J352" t="s">
        <v>181</v>
      </c>
      <c r="K352" t="s">
        <v>590</v>
      </c>
      <c r="L352">
        <v>2</v>
      </c>
      <c r="CA352" t="s">
        <v>679</v>
      </c>
      <c r="CB352" t="s">
        <v>215</v>
      </c>
      <c r="CC352" t="s">
        <v>149</v>
      </c>
      <c r="CD352" t="s">
        <v>124</v>
      </c>
      <c r="CL352">
        <v>2</v>
      </c>
    </row>
    <row r="353" spans="1:90">
      <c r="A353" t="s">
        <v>591</v>
      </c>
      <c r="B353" t="s">
        <v>151</v>
      </c>
      <c r="C353" t="s">
        <v>152</v>
      </c>
      <c r="D353" t="s">
        <v>124</v>
      </c>
      <c r="F353" t="s">
        <v>163</v>
      </c>
      <c r="H353" t="s">
        <v>164</v>
      </c>
      <c r="J353" t="s">
        <v>168</v>
      </c>
      <c r="K353" t="s">
        <v>592</v>
      </c>
      <c r="L353">
        <v>2</v>
      </c>
      <c r="CA353" t="s">
        <v>680</v>
      </c>
      <c r="CB353" t="s">
        <v>215</v>
      </c>
      <c r="CC353" t="s">
        <v>149</v>
      </c>
      <c r="CD353" t="s">
        <v>124</v>
      </c>
      <c r="CL353">
        <v>2</v>
      </c>
    </row>
    <row r="354" spans="1:90">
      <c r="A354" t="s">
        <v>593</v>
      </c>
      <c r="B354" t="s">
        <v>151</v>
      </c>
      <c r="C354" t="s">
        <v>149</v>
      </c>
      <c r="D354" t="s">
        <v>118</v>
      </c>
      <c r="K354" t="s">
        <v>219</v>
      </c>
      <c r="L354">
        <v>2</v>
      </c>
      <c r="CA354" t="s">
        <v>681</v>
      </c>
      <c r="CB354" t="s">
        <v>215</v>
      </c>
      <c r="CC354" t="s">
        <v>216</v>
      </c>
      <c r="CD354" t="s">
        <v>132</v>
      </c>
      <c r="CL354">
        <v>2</v>
      </c>
    </row>
    <row r="355" spans="1:90">
      <c r="A355" t="s">
        <v>594</v>
      </c>
      <c r="B355" t="s">
        <v>151</v>
      </c>
      <c r="C355" t="s">
        <v>149</v>
      </c>
      <c r="D355" t="s">
        <v>118</v>
      </c>
      <c r="J355" t="s">
        <v>168</v>
      </c>
      <c r="K355" t="s">
        <v>219</v>
      </c>
      <c r="L355">
        <v>2</v>
      </c>
      <c r="CA355" t="s">
        <v>682</v>
      </c>
      <c r="CB355" t="s">
        <v>175</v>
      </c>
      <c r="CC355" t="s">
        <v>152</v>
      </c>
      <c r="CD355" t="s">
        <v>118</v>
      </c>
      <c r="CL355">
        <v>2</v>
      </c>
    </row>
    <row r="356" spans="1:90">
      <c r="A356" t="s">
        <v>595</v>
      </c>
      <c r="B356" t="s">
        <v>151</v>
      </c>
      <c r="C356" t="s">
        <v>152</v>
      </c>
      <c r="D356" t="s">
        <v>132</v>
      </c>
      <c r="J356" t="s">
        <v>168</v>
      </c>
      <c r="K356" t="s">
        <v>596</v>
      </c>
      <c r="L356">
        <v>2</v>
      </c>
      <c r="CA356" t="s">
        <v>683</v>
      </c>
      <c r="CB356" t="s">
        <v>175</v>
      </c>
      <c r="CC356" t="s">
        <v>149</v>
      </c>
      <c r="CD356" t="s">
        <v>124</v>
      </c>
      <c r="CL356">
        <v>2</v>
      </c>
    </row>
    <row r="357" spans="1:90">
      <c r="A357" t="s">
        <v>597</v>
      </c>
      <c r="B357" t="s">
        <v>151</v>
      </c>
      <c r="C357" t="s">
        <v>152</v>
      </c>
      <c r="D357" t="s">
        <v>118</v>
      </c>
      <c r="E357" t="s">
        <v>167</v>
      </c>
      <c r="F357" t="s">
        <v>163</v>
      </c>
      <c r="H357" t="s">
        <v>164</v>
      </c>
      <c r="J357" t="s">
        <v>189</v>
      </c>
      <c r="K357" t="s">
        <v>598</v>
      </c>
      <c r="L357">
        <v>2</v>
      </c>
      <c r="CA357" t="s">
        <v>684</v>
      </c>
      <c r="CB357" t="s">
        <v>151</v>
      </c>
      <c r="CC357" t="s">
        <v>149</v>
      </c>
      <c r="CD357" t="s">
        <v>118</v>
      </c>
      <c r="CL357">
        <v>2</v>
      </c>
    </row>
    <row r="358" spans="1:90">
      <c r="A358" t="s">
        <v>599</v>
      </c>
      <c r="B358" t="s">
        <v>151</v>
      </c>
      <c r="C358" t="s">
        <v>277</v>
      </c>
      <c r="D358" t="s">
        <v>124</v>
      </c>
      <c r="E358" t="s">
        <v>167</v>
      </c>
      <c r="F358" t="s">
        <v>163</v>
      </c>
      <c r="H358" t="s">
        <v>164</v>
      </c>
      <c r="J358" t="s">
        <v>221</v>
      </c>
      <c r="K358" t="s">
        <v>192</v>
      </c>
      <c r="L358">
        <v>2</v>
      </c>
      <c r="CA358" t="s">
        <v>688</v>
      </c>
      <c r="CB358" t="s">
        <v>116</v>
      </c>
      <c r="CC358" t="s">
        <v>117</v>
      </c>
      <c r="CD358" t="s">
        <v>118</v>
      </c>
      <c r="CL358">
        <v>2</v>
      </c>
    </row>
    <row r="359" spans="1:90">
      <c r="A359" t="s">
        <v>600</v>
      </c>
      <c r="B359" t="s">
        <v>151</v>
      </c>
      <c r="C359" t="s">
        <v>152</v>
      </c>
      <c r="D359" t="s">
        <v>118</v>
      </c>
      <c r="E359" t="s">
        <v>295</v>
      </c>
      <c r="J359" t="s">
        <v>186</v>
      </c>
      <c r="K359" t="s">
        <v>601</v>
      </c>
      <c r="L359">
        <v>2</v>
      </c>
      <c r="CA359" t="s">
        <v>689</v>
      </c>
      <c r="CB359" t="s">
        <v>116</v>
      </c>
      <c r="CC359" t="s">
        <v>117</v>
      </c>
      <c r="CD359" t="s">
        <v>118</v>
      </c>
      <c r="CF359" t="s">
        <v>370</v>
      </c>
      <c r="CH359" t="s">
        <v>164</v>
      </c>
      <c r="CL359">
        <v>2</v>
      </c>
    </row>
    <row r="360" spans="1:90">
      <c r="A360" t="s">
        <v>602</v>
      </c>
      <c r="B360" t="s">
        <v>151</v>
      </c>
      <c r="C360" t="s">
        <v>149</v>
      </c>
      <c r="D360" t="s">
        <v>124</v>
      </c>
      <c r="E360" t="s">
        <v>167</v>
      </c>
      <c r="F360" t="s">
        <v>163</v>
      </c>
      <c r="H360" t="s">
        <v>164</v>
      </c>
      <c r="I360" t="s">
        <v>221</v>
      </c>
      <c r="J360" t="s">
        <v>189</v>
      </c>
      <c r="K360" t="s">
        <v>603</v>
      </c>
      <c r="L360">
        <v>2</v>
      </c>
      <c r="CA360" t="s">
        <v>690</v>
      </c>
      <c r="CB360" t="s">
        <v>116</v>
      </c>
      <c r="CC360" t="s">
        <v>152</v>
      </c>
      <c r="CD360" t="s">
        <v>118</v>
      </c>
      <c r="CF360" t="s">
        <v>370</v>
      </c>
      <c r="CH360" t="s">
        <v>164</v>
      </c>
      <c r="CL360">
        <v>2</v>
      </c>
    </row>
    <row r="361" spans="1:90">
      <c r="A361" t="s">
        <v>604</v>
      </c>
      <c r="B361" t="s">
        <v>151</v>
      </c>
      <c r="C361" t="s">
        <v>152</v>
      </c>
      <c r="D361" t="s">
        <v>118</v>
      </c>
      <c r="E361" t="s">
        <v>167</v>
      </c>
      <c r="J361" t="s">
        <v>186</v>
      </c>
      <c r="K361" t="s">
        <v>605</v>
      </c>
      <c r="L361">
        <v>2</v>
      </c>
      <c r="CA361" t="s">
        <v>691</v>
      </c>
      <c r="CB361" t="s">
        <v>116</v>
      </c>
      <c r="CC361" t="s">
        <v>152</v>
      </c>
      <c r="CD361" t="s">
        <v>118</v>
      </c>
      <c r="CF361" t="s">
        <v>370</v>
      </c>
      <c r="CH361" t="s">
        <v>164</v>
      </c>
      <c r="CL361">
        <v>2</v>
      </c>
    </row>
    <row r="362" spans="1:90">
      <c r="A362" t="s">
        <v>606</v>
      </c>
      <c r="B362" t="s">
        <v>151</v>
      </c>
      <c r="C362" t="s">
        <v>149</v>
      </c>
      <c r="D362" t="s">
        <v>118</v>
      </c>
      <c r="E362" t="s">
        <v>167</v>
      </c>
      <c r="J362" t="s">
        <v>181</v>
      </c>
      <c r="K362" t="s">
        <v>192</v>
      </c>
      <c r="L362">
        <v>2</v>
      </c>
      <c r="CA362" t="s">
        <v>692</v>
      </c>
      <c r="CB362" t="s">
        <v>151</v>
      </c>
      <c r="CC362" t="s">
        <v>216</v>
      </c>
      <c r="CD362" t="s">
        <v>124</v>
      </c>
      <c r="CJ362">
        <v>42317</v>
      </c>
      <c r="CL362">
        <v>2</v>
      </c>
    </row>
    <row r="363" spans="1:90">
      <c r="A363" t="s">
        <v>607</v>
      </c>
      <c r="B363" t="s">
        <v>151</v>
      </c>
      <c r="C363" t="s">
        <v>149</v>
      </c>
      <c r="D363" t="s">
        <v>118</v>
      </c>
      <c r="E363" t="s">
        <v>153</v>
      </c>
      <c r="J363" t="s">
        <v>156</v>
      </c>
      <c r="K363" t="s">
        <v>207</v>
      </c>
      <c r="L363">
        <v>2</v>
      </c>
      <c r="CA363" t="s">
        <v>693</v>
      </c>
      <c r="CB363" t="s">
        <v>151</v>
      </c>
      <c r="CC363" t="s">
        <v>277</v>
      </c>
      <c r="CD363" t="s">
        <v>124</v>
      </c>
      <c r="CF363" t="s">
        <v>163</v>
      </c>
      <c r="CH363" t="s">
        <v>164</v>
      </c>
      <c r="CL363">
        <v>2</v>
      </c>
    </row>
    <row r="364" spans="1:90">
      <c r="A364" t="s">
        <v>608</v>
      </c>
      <c r="B364" t="s">
        <v>151</v>
      </c>
      <c r="C364" t="s">
        <v>152</v>
      </c>
      <c r="D364" t="s">
        <v>124</v>
      </c>
      <c r="L364">
        <v>2</v>
      </c>
      <c r="CA364" t="s">
        <v>694</v>
      </c>
      <c r="CB364" t="s">
        <v>151</v>
      </c>
      <c r="CC364" t="s">
        <v>152</v>
      </c>
      <c r="CD364" t="s">
        <v>118</v>
      </c>
      <c r="CF364" t="s">
        <v>163</v>
      </c>
      <c r="CH364" t="s">
        <v>164</v>
      </c>
      <c r="CL364">
        <v>2</v>
      </c>
    </row>
    <row r="365" spans="1:90">
      <c r="A365" t="s">
        <v>609</v>
      </c>
      <c r="B365" t="s">
        <v>151</v>
      </c>
      <c r="C365" t="s">
        <v>152</v>
      </c>
      <c r="D365" t="s">
        <v>124</v>
      </c>
      <c r="L365">
        <v>2</v>
      </c>
      <c r="CA365" t="s">
        <v>695</v>
      </c>
      <c r="CB365" t="s">
        <v>151</v>
      </c>
      <c r="CC365" t="s">
        <v>152</v>
      </c>
      <c r="CD365" t="s">
        <v>124</v>
      </c>
      <c r="CL365">
        <v>2</v>
      </c>
    </row>
    <row r="366" spans="1:90">
      <c r="A366" t="s">
        <v>610</v>
      </c>
      <c r="B366" t="s">
        <v>151</v>
      </c>
      <c r="C366" t="s">
        <v>149</v>
      </c>
      <c r="D366" t="s">
        <v>118</v>
      </c>
      <c r="E366" t="s">
        <v>180</v>
      </c>
      <c r="I366" t="s">
        <v>168</v>
      </c>
      <c r="J366" t="s">
        <v>168</v>
      </c>
      <c r="K366" t="s">
        <v>207</v>
      </c>
      <c r="L366">
        <v>2</v>
      </c>
      <c r="CA366" t="s">
        <v>696</v>
      </c>
      <c r="CB366" t="s">
        <v>151</v>
      </c>
      <c r="CC366" t="s">
        <v>152</v>
      </c>
      <c r="CD366" t="s">
        <v>124</v>
      </c>
      <c r="CF366" t="s">
        <v>370</v>
      </c>
      <c r="CH366" t="s">
        <v>164</v>
      </c>
      <c r="CL366">
        <v>2</v>
      </c>
    </row>
    <row r="367" spans="1:90">
      <c r="A367" t="s">
        <v>611</v>
      </c>
      <c r="B367" t="s">
        <v>160</v>
      </c>
      <c r="C367" t="s">
        <v>117</v>
      </c>
      <c r="D367" t="s">
        <v>118</v>
      </c>
      <c r="L367">
        <v>2</v>
      </c>
      <c r="CA367" t="s">
        <v>697</v>
      </c>
      <c r="CB367" t="s">
        <v>151</v>
      </c>
      <c r="CC367" t="s">
        <v>152</v>
      </c>
      <c r="CD367" t="s">
        <v>124</v>
      </c>
      <c r="CL367">
        <v>2</v>
      </c>
    </row>
    <row r="368" spans="1:90">
      <c r="A368" t="s">
        <v>612</v>
      </c>
      <c r="B368" t="s">
        <v>160</v>
      </c>
      <c r="C368" t="s">
        <v>117</v>
      </c>
      <c r="D368" t="s">
        <v>124</v>
      </c>
      <c r="L368">
        <v>2</v>
      </c>
      <c r="CA368" t="s">
        <v>699</v>
      </c>
      <c r="CB368" t="s">
        <v>160</v>
      </c>
      <c r="CC368" t="s">
        <v>117</v>
      </c>
      <c r="CD368" t="s">
        <v>118</v>
      </c>
      <c r="CE368" t="s">
        <v>167</v>
      </c>
      <c r="CI368" t="s">
        <v>418</v>
      </c>
      <c r="CJ368" t="s">
        <v>418</v>
      </c>
      <c r="CL368">
        <v>2</v>
      </c>
    </row>
    <row r="369" spans="1:90">
      <c r="A369" t="s">
        <v>613</v>
      </c>
      <c r="B369" t="s">
        <v>160</v>
      </c>
      <c r="C369" t="s">
        <v>120</v>
      </c>
      <c r="D369" t="s">
        <v>118</v>
      </c>
      <c r="L369">
        <v>2</v>
      </c>
      <c r="CA369" t="s">
        <v>700</v>
      </c>
      <c r="CB369" t="s">
        <v>160</v>
      </c>
      <c r="CC369" t="s">
        <v>120</v>
      </c>
      <c r="CD369" t="s">
        <v>118</v>
      </c>
      <c r="CL369">
        <v>2</v>
      </c>
    </row>
    <row r="370" spans="1:90">
      <c r="A370" t="s">
        <v>614</v>
      </c>
      <c r="B370" t="s">
        <v>162</v>
      </c>
      <c r="C370" t="s">
        <v>152</v>
      </c>
      <c r="D370" t="s">
        <v>124</v>
      </c>
      <c r="L370">
        <v>2</v>
      </c>
      <c r="CA370" t="s">
        <v>701</v>
      </c>
      <c r="CB370" t="s">
        <v>160</v>
      </c>
      <c r="CC370" t="s">
        <v>120</v>
      </c>
      <c r="CD370" t="s">
        <v>118</v>
      </c>
      <c r="CL370">
        <v>2</v>
      </c>
    </row>
    <row r="371" spans="1:90">
      <c r="A371" t="s">
        <v>615</v>
      </c>
      <c r="B371" t="s">
        <v>162</v>
      </c>
      <c r="C371" t="s">
        <v>152</v>
      </c>
      <c r="D371" t="s">
        <v>124</v>
      </c>
      <c r="L371">
        <v>2</v>
      </c>
      <c r="CA371" t="s">
        <v>702</v>
      </c>
      <c r="CB371" t="s">
        <v>160</v>
      </c>
      <c r="CC371" t="s">
        <v>120</v>
      </c>
      <c r="CD371" t="s">
        <v>118</v>
      </c>
      <c r="CL371">
        <v>2</v>
      </c>
    </row>
    <row r="372" spans="1:90">
      <c r="A372" t="s">
        <v>616</v>
      </c>
      <c r="B372" t="s">
        <v>162</v>
      </c>
      <c r="C372" t="s">
        <v>149</v>
      </c>
      <c r="D372" t="s">
        <v>124</v>
      </c>
      <c r="L372">
        <v>2</v>
      </c>
      <c r="CA372" t="s">
        <v>703</v>
      </c>
      <c r="CB372" t="s">
        <v>162</v>
      </c>
      <c r="CC372" t="s">
        <v>149</v>
      </c>
      <c r="CD372" t="s">
        <v>138</v>
      </c>
      <c r="CL372">
        <v>2</v>
      </c>
    </row>
    <row r="373" spans="1:90">
      <c r="A373" t="s">
        <v>617</v>
      </c>
      <c r="B373" t="s">
        <v>162</v>
      </c>
      <c r="C373" t="s">
        <v>149</v>
      </c>
      <c r="D373" t="s">
        <v>124</v>
      </c>
      <c r="L373">
        <v>2</v>
      </c>
      <c r="CA373" t="s">
        <v>704</v>
      </c>
      <c r="CB373" t="s">
        <v>162</v>
      </c>
      <c r="CC373" t="s">
        <v>149</v>
      </c>
      <c r="CD373" t="s">
        <v>118</v>
      </c>
      <c r="CL373">
        <v>2</v>
      </c>
    </row>
    <row r="374" spans="1:90">
      <c r="A374" t="s">
        <v>618</v>
      </c>
      <c r="B374" t="s">
        <v>162</v>
      </c>
      <c r="C374" t="s">
        <v>149</v>
      </c>
      <c r="D374" t="s">
        <v>118</v>
      </c>
      <c r="L374">
        <v>2</v>
      </c>
      <c r="CA374" t="s">
        <v>705</v>
      </c>
      <c r="CB374" t="s">
        <v>162</v>
      </c>
      <c r="CC374" t="s">
        <v>149</v>
      </c>
      <c r="CD374" t="s">
        <v>124</v>
      </c>
      <c r="CL374">
        <v>2</v>
      </c>
    </row>
    <row r="375" spans="1:90">
      <c r="A375" t="s">
        <v>619</v>
      </c>
      <c r="B375" t="s">
        <v>151</v>
      </c>
      <c r="C375" t="s">
        <v>152</v>
      </c>
      <c r="D375" t="s">
        <v>124</v>
      </c>
      <c r="E375" t="s">
        <v>180</v>
      </c>
      <c r="I375" t="s">
        <v>186</v>
      </c>
      <c r="J375" t="s">
        <v>186</v>
      </c>
      <c r="K375" t="s">
        <v>157</v>
      </c>
      <c r="L375">
        <v>2</v>
      </c>
      <c r="CA375" t="s">
        <v>706</v>
      </c>
      <c r="CB375" t="s">
        <v>162</v>
      </c>
      <c r="CC375" t="s">
        <v>152</v>
      </c>
      <c r="CD375" t="s">
        <v>118</v>
      </c>
      <c r="CL375">
        <v>2</v>
      </c>
    </row>
    <row r="376" spans="1:90">
      <c r="A376" t="s">
        <v>620</v>
      </c>
      <c r="B376" t="s">
        <v>151</v>
      </c>
      <c r="C376" t="s">
        <v>149</v>
      </c>
      <c r="D376" t="s">
        <v>118</v>
      </c>
      <c r="E376" t="s">
        <v>167</v>
      </c>
      <c r="I376" t="s">
        <v>181</v>
      </c>
      <c r="J376" t="s">
        <v>181</v>
      </c>
      <c r="K376" t="s">
        <v>192</v>
      </c>
      <c r="L376">
        <v>2</v>
      </c>
      <c r="CA376" t="s">
        <v>707</v>
      </c>
      <c r="CB376" t="s">
        <v>162</v>
      </c>
      <c r="CC376" t="s">
        <v>152</v>
      </c>
      <c r="CD376" t="s">
        <v>118</v>
      </c>
      <c r="CL376">
        <v>2</v>
      </c>
    </row>
    <row r="377" spans="1:90">
      <c r="A377" t="s">
        <v>621</v>
      </c>
      <c r="B377" t="s">
        <v>151</v>
      </c>
      <c r="C377" t="s">
        <v>152</v>
      </c>
      <c r="D377" t="s">
        <v>132</v>
      </c>
      <c r="E377" t="s">
        <v>153</v>
      </c>
      <c r="I377" t="s">
        <v>186</v>
      </c>
      <c r="J377" t="s">
        <v>181</v>
      </c>
      <c r="K377" t="s">
        <v>622</v>
      </c>
      <c r="L377">
        <v>2</v>
      </c>
      <c r="CA377" t="s">
        <v>708</v>
      </c>
      <c r="CB377" t="s">
        <v>151</v>
      </c>
      <c r="CC377" t="s">
        <v>277</v>
      </c>
      <c r="CD377" t="s">
        <v>124</v>
      </c>
      <c r="CE377" t="s">
        <v>167</v>
      </c>
      <c r="CF377" t="s">
        <v>163</v>
      </c>
      <c r="CH377" t="s">
        <v>164</v>
      </c>
      <c r="CI377" t="s">
        <v>186</v>
      </c>
      <c r="CJ377" t="s">
        <v>186</v>
      </c>
      <c r="CK377" t="s">
        <v>222</v>
      </c>
      <c r="CL377">
        <v>2</v>
      </c>
    </row>
    <row r="378" spans="1:90">
      <c r="A378" t="s">
        <v>623</v>
      </c>
      <c r="B378" t="s">
        <v>151</v>
      </c>
      <c r="C378" t="s">
        <v>149</v>
      </c>
      <c r="D378" t="s">
        <v>118</v>
      </c>
      <c r="L378">
        <v>2</v>
      </c>
      <c r="CA378" t="s">
        <v>709</v>
      </c>
      <c r="CB378" t="s">
        <v>151</v>
      </c>
      <c r="CC378" t="s">
        <v>152</v>
      </c>
      <c r="CD378" t="s">
        <v>132</v>
      </c>
      <c r="CE378" t="s">
        <v>167</v>
      </c>
      <c r="CI378" t="s">
        <v>186</v>
      </c>
      <c r="CJ378" t="s">
        <v>186</v>
      </c>
      <c r="CK378" t="s">
        <v>710</v>
      </c>
      <c r="CL378">
        <v>2</v>
      </c>
    </row>
    <row r="379" spans="1:90">
      <c r="A379" t="s">
        <v>624</v>
      </c>
      <c r="B379" t="s">
        <v>151</v>
      </c>
      <c r="C379" t="s">
        <v>149</v>
      </c>
      <c r="D379" t="s">
        <v>132</v>
      </c>
      <c r="L379">
        <v>2</v>
      </c>
      <c r="CA379" t="s">
        <v>713</v>
      </c>
      <c r="CB379" t="s">
        <v>151</v>
      </c>
      <c r="CC379" t="s">
        <v>152</v>
      </c>
      <c r="CD379" t="s">
        <v>118</v>
      </c>
      <c r="CL379">
        <v>2</v>
      </c>
    </row>
    <row r="380" spans="1:90">
      <c r="A380" t="s">
        <v>625</v>
      </c>
      <c r="B380" t="s">
        <v>151</v>
      </c>
      <c r="C380" t="s">
        <v>277</v>
      </c>
      <c r="D380" t="s">
        <v>132</v>
      </c>
      <c r="E380" t="s">
        <v>167</v>
      </c>
      <c r="I380" t="s">
        <v>221</v>
      </c>
      <c r="J380" t="s">
        <v>221</v>
      </c>
      <c r="K380" t="s">
        <v>222</v>
      </c>
      <c r="L380">
        <v>2</v>
      </c>
      <c r="CA380" t="s">
        <v>717</v>
      </c>
      <c r="CB380" t="s">
        <v>151</v>
      </c>
      <c r="CC380" t="s">
        <v>152</v>
      </c>
      <c r="CD380" t="s">
        <v>124</v>
      </c>
      <c r="CE380" t="s">
        <v>167</v>
      </c>
      <c r="CI380" t="s">
        <v>181</v>
      </c>
      <c r="CJ380" t="s">
        <v>181</v>
      </c>
      <c r="CK380" t="s">
        <v>222</v>
      </c>
      <c r="CL380">
        <v>2</v>
      </c>
    </row>
    <row r="381" spans="1:90">
      <c r="A381" t="s">
        <v>626</v>
      </c>
      <c r="B381" t="s">
        <v>151</v>
      </c>
      <c r="C381" t="s">
        <v>149</v>
      </c>
      <c r="D381" t="s">
        <v>124</v>
      </c>
      <c r="E381" t="s">
        <v>167</v>
      </c>
      <c r="I381" t="s">
        <v>168</v>
      </c>
      <c r="J381" t="s">
        <v>181</v>
      </c>
      <c r="K381" t="s">
        <v>627</v>
      </c>
      <c r="L381">
        <v>2</v>
      </c>
      <c r="CA381" t="s">
        <v>718</v>
      </c>
      <c r="CB381" t="s">
        <v>151</v>
      </c>
      <c r="CC381" t="s">
        <v>277</v>
      </c>
      <c r="CD381" t="s">
        <v>132</v>
      </c>
      <c r="CE381" t="s">
        <v>167</v>
      </c>
      <c r="CI381">
        <v>42347</v>
      </c>
      <c r="CJ381">
        <v>42347</v>
      </c>
      <c r="CK381" t="s">
        <v>334</v>
      </c>
      <c r="CL381">
        <v>2</v>
      </c>
    </row>
    <row r="382" spans="1:90">
      <c r="A382" t="s">
        <v>628</v>
      </c>
      <c r="B382" t="s">
        <v>151</v>
      </c>
      <c r="C382" t="s">
        <v>149</v>
      </c>
      <c r="D382" t="s">
        <v>124</v>
      </c>
      <c r="L382">
        <v>2</v>
      </c>
      <c r="CA382" t="s">
        <v>719</v>
      </c>
      <c r="CB382" t="s">
        <v>151</v>
      </c>
      <c r="CC382" t="s">
        <v>149</v>
      </c>
      <c r="CD382" t="s">
        <v>118</v>
      </c>
      <c r="CE382" t="s">
        <v>167</v>
      </c>
      <c r="CI382" t="s">
        <v>186</v>
      </c>
      <c r="CJ382" t="s">
        <v>168</v>
      </c>
      <c r="CK382" t="s">
        <v>192</v>
      </c>
      <c r="CL382">
        <v>2</v>
      </c>
    </row>
    <row r="383" spans="1:90">
      <c r="A383" t="s">
        <v>629</v>
      </c>
      <c r="B383" t="s">
        <v>116</v>
      </c>
      <c r="C383" t="s">
        <v>149</v>
      </c>
      <c r="D383" t="s">
        <v>124</v>
      </c>
      <c r="E383" t="s">
        <v>167</v>
      </c>
      <c r="I383" t="s">
        <v>181</v>
      </c>
      <c r="J383" t="s">
        <v>181</v>
      </c>
      <c r="K383" t="s">
        <v>169</v>
      </c>
      <c r="L383">
        <v>2</v>
      </c>
      <c r="CA383" t="s">
        <v>720</v>
      </c>
      <c r="CB383" t="s">
        <v>175</v>
      </c>
      <c r="CC383" t="s">
        <v>152</v>
      </c>
      <c r="CD383" t="s">
        <v>124</v>
      </c>
      <c r="CE383" t="s">
        <v>167</v>
      </c>
      <c r="CF383" t="s">
        <v>163</v>
      </c>
      <c r="CH383" t="s">
        <v>164</v>
      </c>
      <c r="CI383" t="s">
        <v>186</v>
      </c>
      <c r="CJ383" t="s">
        <v>186</v>
      </c>
      <c r="CK383" t="s">
        <v>347</v>
      </c>
      <c r="CL383">
        <v>2</v>
      </c>
    </row>
    <row r="384" spans="1:90">
      <c r="A384" t="s">
        <v>630</v>
      </c>
      <c r="B384" t="s">
        <v>151</v>
      </c>
      <c r="C384" t="s">
        <v>149</v>
      </c>
      <c r="D384" t="s">
        <v>124</v>
      </c>
      <c r="E384" t="s">
        <v>153</v>
      </c>
      <c r="I384" t="s">
        <v>168</v>
      </c>
      <c r="J384" t="s">
        <v>156</v>
      </c>
      <c r="K384" t="s">
        <v>187</v>
      </c>
      <c r="L384">
        <v>2</v>
      </c>
      <c r="CA384" t="s">
        <v>721</v>
      </c>
      <c r="CB384" t="s">
        <v>175</v>
      </c>
      <c r="CC384" t="s">
        <v>152</v>
      </c>
      <c r="CD384" t="s">
        <v>118</v>
      </c>
      <c r="CL384">
        <v>2</v>
      </c>
    </row>
    <row r="385" spans="1:90">
      <c r="A385" t="s">
        <v>631</v>
      </c>
      <c r="B385" t="s">
        <v>151</v>
      </c>
      <c r="C385" t="s">
        <v>149</v>
      </c>
      <c r="D385" t="s">
        <v>132</v>
      </c>
      <c r="E385" t="s">
        <v>153</v>
      </c>
      <c r="I385" t="s">
        <v>181</v>
      </c>
      <c r="J385" t="s">
        <v>181</v>
      </c>
      <c r="K385" t="s">
        <v>207</v>
      </c>
      <c r="L385">
        <v>2</v>
      </c>
      <c r="CA385" t="s">
        <v>722</v>
      </c>
      <c r="CB385" t="s">
        <v>175</v>
      </c>
      <c r="CC385" t="s">
        <v>152</v>
      </c>
      <c r="CD385" t="s">
        <v>124</v>
      </c>
      <c r="CL385">
        <v>2</v>
      </c>
    </row>
    <row r="386" spans="1:90">
      <c r="A386" t="s">
        <v>632</v>
      </c>
      <c r="B386" t="s">
        <v>151</v>
      </c>
      <c r="C386" t="s">
        <v>149</v>
      </c>
      <c r="D386" t="s">
        <v>124</v>
      </c>
      <c r="E386" t="s">
        <v>153</v>
      </c>
      <c r="I386" t="s">
        <v>181</v>
      </c>
      <c r="J386" t="s">
        <v>181</v>
      </c>
      <c r="K386" t="s">
        <v>349</v>
      </c>
      <c r="L386">
        <v>2</v>
      </c>
      <c r="CA386" t="s">
        <v>723</v>
      </c>
      <c r="CB386" t="s">
        <v>175</v>
      </c>
      <c r="CC386" t="s">
        <v>152</v>
      </c>
      <c r="CD386" t="s">
        <v>124</v>
      </c>
      <c r="CL386">
        <v>2</v>
      </c>
    </row>
    <row r="387" spans="1:90">
      <c r="A387" t="s">
        <v>633</v>
      </c>
      <c r="B387" t="s">
        <v>151</v>
      </c>
      <c r="C387" t="s">
        <v>149</v>
      </c>
      <c r="D387" t="s">
        <v>124</v>
      </c>
      <c r="E387" t="s">
        <v>167</v>
      </c>
      <c r="I387" t="s">
        <v>168</v>
      </c>
      <c r="J387" t="s">
        <v>168</v>
      </c>
      <c r="K387" t="s">
        <v>634</v>
      </c>
      <c r="L387">
        <v>2</v>
      </c>
      <c r="CA387" t="s">
        <v>724</v>
      </c>
      <c r="CB387" t="s">
        <v>175</v>
      </c>
      <c r="CC387" t="s">
        <v>152</v>
      </c>
      <c r="CD387" t="s">
        <v>124</v>
      </c>
      <c r="CL387">
        <v>2</v>
      </c>
    </row>
    <row r="388" spans="1:90">
      <c r="A388" t="s">
        <v>635</v>
      </c>
      <c r="B388" t="s">
        <v>151</v>
      </c>
      <c r="C388" t="s">
        <v>152</v>
      </c>
      <c r="D388" t="s">
        <v>124</v>
      </c>
      <c r="E388" t="s">
        <v>167</v>
      </c>
      <c r="I388" t="s">
        <v>168</v>
      </c>
      <c r="J388" t="s">
        <v>168</v>
      </c>
      <c r="K388" t="s">
        <v>636</v>
      </c>
      <c r="L388">
        <v>2</v>
      </c>
      <c r="CA388" t="s">
        <v>725</v>
      </c>
      <c r="CB388" t="s">
        <v>175</v>
      </c>
      <c r="CC388" t="s">
        <v>152</v>
      </c>
      <c r="CD388" t="s">
        <v>118</v>
      </c>
      <c r="CL388">
        <v>2</v>
      </c>
    </row>
    <row r="389" spans="1:90">
      <c r="A389" t="s">
        <v>637</v>
      </c>
      <c r="B389" t="s">
        <v>151</v>
      </c>
      <c r="C389" t="s">
        <v>149</v>
      </c>
      <c r="D389" t="s">
        <v>132</v>
      </c>
      <c r="E389" t="s">
        <v>180</v>
      </c>
      <c r="I389" t="s">
        <v>181</v>
      </c>
      <c r="J389" t="s">
        <v>181</v>
      </c>
      <c r="K389" t="s">
        <v>638</v>
      </c>
      <c r="L389">
        <v>2</v>
      </c>
      <c r="CA389" s="33" t="s">
        <v>726</v>
      </c>
      <c r="CB389" s="33" t="s">
        <v>172</v>
      </c>
      <c r="CC389" s="33" t="s">
        <v>152</v>
      </c>
      <c r="CD389" s="33" t="s">
        <v>118</v>
      </c>
      <c r="CE389" s="33"/>
      <c r="CF389" s="33"/>
      <c r="CG389" s="33"/>
      <c r="CH389" s="33"/>
      <c r="CL389">
        <v>2</v>
      </c>
    </row>
    <row r="390" spans="1:90">
      <c r="A390" t="s">
        <v>639</v>
      </c>
      <c r="B390" t="s">
        <v>151</v>
      </c>
      <c r="C390" t="s">
        <v>277</v>
      </c>
      <c r="D390" t="s">
        <v>132</v>
      </c>
      <c r="E390" t="s">
        <v>167</v>
      </c>
      <c r="I390" t="s">
        <v>221</v>
      </c>
      <c r="J390" t="s">
        <v>221</v>
      </c>
      <c r="K390" t="s">
        <v>640</v>
      </c>
      <c r="L390">
        <v>2</v>
      </c>
      <c r="CA390" s="33" t="s">
        <v>727</v>
      </c>
      <c r="CB390" s="33" t="s">
        <v>172</v>
      </c>
      <c r="CC390" s="33" t="s">
        <v>149</v>
      </c>
      <c r="CD390" s="33" t="s">
        <v>124</v>
      </c>
      <c r="CE390" s="33"/>
      <c r="CF390" s="33"/>
      <c r="CG390" s="33"/>
      <c r="CH390" s="33"/>
      <c r="CL390">
        <v>2</v>
      </c>
    </row>
    <row r="391" spans="1:90">
      <c r="A391" t="s">
        <v>641</v>
      </c>
      <c r="B391" t="s">
        <v>151</v>
      </c>
      <c r="C391" t="s">
        <v>149</v>
      </c>
      <c r="D391" t="s">
        <v>124</v>
      </c>
      <c r="E391" t="s">
        <v>210</v>
      </c>
      <c r="I391" t="s">
        <v>181</v>
      </c>
      <c r="J391" t="s">
        <v>181</v>
      </c>
      <c r="K391" t="s">
        <v>642</v>
      </c>
      <c r="L391">
        <v>2</v>
      </c>
      <c r="CA391" s="33" t="s">
        <v>728</v>
      </c>
      <c r="CB391" s="33" t="s">
        <v>172</v>
      </c>
      <c r="CC391" s="33" t="s">
        <v>149</v>
      </c>
      <c r="CD391" s="33" t="s">
        <v>124</v>
      </c>
      <c r="CE391" s="33"/>
      <c r="CF391" s="33"/>
      <c r="CG391" s="33"/>
      <c r="CH391" s="33"/>
      <c r="CL391">
        <v>2</v>
      </c>
    </row>
    <row r="392" spans="1:90">
      <c r="A392" t="s">
        <v>643</v>
      </c>
      <c r="B392" t="s">
        <v>175</v>
      </c>
      <c r="C392" t="s">
        <v>152</v>
      </c>
      <c r="D392" t="s">
        <v>118</v>
      </c>
      <c r="L392">
        <v>2</v>
      </c>
      <c r="CA392" s="33" t="s">
        <v>729</v>
      </c>
      <c r="CB392" s="33" t="s">
        <v>172</v>
      </c>
      <c r="CC392" s="33" t="s">
        <v>152</v>
      </c>
      <c r="CD392" s="33" t="s">
        <v>124</v>
      </c>
      <c r="CE392" s="33"/>
      <c r="CF392" s="33"/>
      <c r="CG392" s="33"/>
      <c r="CH392" s="33"/>
      <c r="CL392">
        <v>2</v>
      </c>
    </row>
    <row r="393" spans="1:90">
      <c r="A393" t="s">
        <v>644</v>
      </c>
      <c r="B393" t="s">
        <v>175</v>
      </c>
      <c r="C393" t="s">
        <v>152</v>
      </c>
      <c r="D393" t="s">
        <v>118</v>
      </c>
      <c r="L393">
        <v>2</v>
      </c>
      <c r="CA393" s="33" t="s">
        <v>730</v>
      </c>
      <c r="CB393" s="33" t="s">
        <v>172</v>
      </c>
      <c r="CC393" s="33" t="s">
        <v>149</v>
      </c>
      <c r="CD393" s="33" t="s">
        <v>118</v>
      </c>
      <c r="CE393" s="33"/>
      <c r="CF393" s="33"/>
      <c r="CG393" s="33"/>
      <c r="CH393" s="33"/>
      <c r="CL393">
        <v>2</v>
      </c>
    </row>
    <row r="394" spans="1:90">
      <c r="A394" t="s">
        <v>645</v>
      </c>
      <c r="B394" t="s">
        <v>175</v>
      </c>
      <c r="C394" t="s">
        <v>152</v>
      </c>
      <c r="D394" t="s">
        <v>124</v>
      </c>
      <c r="L394">
        <v>2</v>
      </c>
      <c r="CA394" s="33" t="s">
        <v>731</v>
      </c>
      <c r="CB394" s="33" t="s">
        <v>172</v>
      </c>
      <c r="CC394" s="33" t="s">
        <v>149</v>
      </c>
      <c r="CD394" s="33" t="s">
        <v>118</v>
      </c>
      <c r="CE394" s="33"/>
      <c r="CF394" s="33"/>
      <c r="CG394" s="33"/>
      <c r="CH394" s="33"/>
      <c r="CL394">
        <v>2</v>
      </c>
    </row>
    <row r="395" spans="1:90">
      <c r="A395" t="s">
        <v>646</v>
      </c>
      <c r="B395" t="s">
        <v>175</v>
      </c>
      <c r="C395" t="s">
        <v>152</v>
      </c>
      <c r="D395" t="s">
        <v>118</v>
      </c>
      <c r="L395">
        <v>2</v>
      </c>
      <c r="CA395" s="33" t="s">
        <v>732</v>
      </c>
      <c r="CB395" s="33" t="s">
        <v>172</v>
      </c>
      <c r="CC395" s="33" t="s">
        <v>152</v>
      </c>
      <c r="CD395" s="33" t="s">
        <v>132</v>
      </c>
      <c r="CE395" s="33"/>
      <c r="CF395" s="33"/>
      <c r="CG395" s="33"/>
      <c r="CH395" s="33"/>
      <c r="CL395">
        <v>2</v>
      </c>
    </row>
    <row r="396" spans="1:90">
      <c r="A396" t="s">
        <v>647</v>
      </c>
      <c r="B396" t="s">
        <v>175</v>
      </c>
      <c r="C396" t="s">
        <v>152</v>
      </c>
      <c r="D396" t="s">
        <v>118</v>
      </c>
      <c r="L396">
        <v>2</v>
      </c>
      <c r="CA396" s="33" t="s">
        <v>733</v>
      </c>
      <c r="CB396" s="33" t="s">
        <v>172</v>
      </c>
      <c r="CC396" s="33" t="s">
        <v>152</v>
      </c>
      <c r="CD396" s="33" t="s">
        <v>124</v>
      </c>
      <c r="CE396" s="33"/>
      <c r="CF396" s="33"/>
      <c r="CG396" s="33"/>
      <c r="CH396" s="33"/>
      <c r="CL396">
        <v>2</v>
      </c>
    </row>
    <row r="397" spans="1:90">
      <c r="A397" t="s">
        <v>648</v>
      </c>
      <c r="B397" t="s">
        <v>175</v>
      </c>
      <c r="C397" t="s">
        <v>152</v>
      </c>
      <c r="D397" t="s">
        <v>124</v>
      </c>
      <c r="F397" t="s">
        <v>163</v>
      </c>
      <c r="H397" t="s">
        <v>164</v>
      </c>
      <c r="L397">
        <v>2</v>
      </c>
      <c r="CA397" s="33" t="s">
        <v>734</v>
      </c>
      <c r="CB397" s="33" t="s">
        <v>172</v>
      </c>
      <c r="CC397" s="33" t="s">
        <v>152</v>
      </c>
      <c r="CD397" s="33" t="s">
        <v>118</v>
      </c>
      <c r="CE397" s="33"/>
      <c r="CF397" s="33"/>
      <c r="CG397" s="33"/>
      <c r="CH397" s="33"/>
      <c r="CL397">
        <v>2</v>
      </c>
    </row>
    <row r="398" spans="1:90">
      <c r="A398" t="s">
        <v>649</v>
      </c>
      <c r="B398" t="s">
        <v>175</v>
      </c>
      <c r="C398" t="s">
        <v>152</v>
      </c>
      <c r="D398" t="s">
        <v>118</v>
      </c>
      <c r="L398">
        <v>2</v>
      </c>
      <c r="CA398" s="33" t="s">
        <v>735</v>
      </c>
      <c r="CB398" s="33" t="s">
        <v>172</v>
      </c>
      <c r="CC398" s="33" t="s">
        <v>149</v>
      </c>
      <c r="CD398" s="33" t="s">
        <v>132</v>
      </c>
      <c r="CE398" s="33"/>
      <c r="CF398" s="33"/>
      <c r="CG398" s="33"/>
      <c r="CH398" s="33"/>
      <c r="CL398">
        <v>2</v>
      </c>
    </row>
    <row r="399" spans="1:90">
      <c r="A399" t="s">
        <v>650</v>
      </c>
      <c r="B399" t="s">
        <v>175</v>
      </c>
      <c r="C399" t="s">
        <v>152</v>
      </c>
      <c r="D399" t="s">
        <v>124</v>
      </c>
      <c r="L399">
        <v>2</v>
      </c>
      <c r="CA399" t="s">
        <v>736</v>
      </c>
      <c r="CB399" t="s">
        <v>279</v>
      </c>
      <c r="CC399" t="s">
        <v>152</v>
      </c>
      <c r="CD399" t="s">
        <v>118</v>
      </c>
      <c r="CL399">
        <v>2</v>
      </c>
    </row>
    <row r="400" spans="1:90">
      <c r="A400" t="s">
        <v>651</v>
      </c>
      <c r="B400" t="s">
        <v>175</v>
      </c>
      <c r="C400" t="s">
        <v>149</v>
      </c>
      <c r="D400" t="s">
        <v>118</v>
      </c>
      <c r="L400">
        <v>2</v>
      </c>
      <c r="CA400" t="s">
        <v>737</v>
      </c>
      <c r="CB400" t="s">
        <v>279</v>
      </c>
      <c r="CC400" t="s">
        <v>149</v>
      </c>
      <c r="CD400" t="s">
        <v>118</v>
      </c>
      <c r="CL400">
        <v>2</v>
      </c>
    </row>
    <row r="401" spans="1:90">
      <c r="A401" s="33" t="s">
        <v>652</v>
      </c>
      <c r="B401" s="33" t="s">
        <v>172</v>
      </c>
      <c r="C401" s="33" t="s">
        <v>152</v>
      </c>
      <c r="D401" s="33" t="s">
        <v>124</v>
      </c>
      <c r="E401" s="33"/>
      <c r="F401" s="33"/>
      <c r="G401" s="33"/>
      <c r="H401" s="33"/>
      <c r="L401">
        <v>2</v>
      </c>
      <c r="CA401" t="s">
        <v>738</v>
      </c>
      <c r="CB401" t="s">
        <v>279</v>
      </c>
      <c r="CC401" t="s">
        <v>149</v>
      </c>
      <c r="CD401" t="s">
        <v>118</v>
      </c>
      <c r="CL401">
        <v>2</v>
      </c>
    </row>
    <row r="402" spans="1:90">
      <c r="A402" s="33" t="s">
        <v>653</v>
      </c>
      <c r="B402" s="33" t="s">
        <v>172</v>
      </c>
      <c r="C402" s="33" t="s">
        <v>152</v>
      </c>
      <c r="D402" s="33" t="s">
        <v>132</v>
      </c>
      <c r="E402" s="33" t="s">
        <v>210</v>
      </c>
      <c r="F402" s="33"/>
      <c r="G402" s="33"/>
      <c r="H402" s="33"/>
      <c r="I402" t="s">
        <v>181</v>
      </c>
      <c r="J402" t="s">
        <v>181</v>
      </c>
      <c r="K402" t="s">
        <v>654</v>
      </c>
      <c r="L402">
        <v>2</v>
      </c>
      <c r="CA402" t="s">
        <v>739</v>
      </c>
      <c r="CB402" t="s">
        <v>279</v>
      </c>
      <c r="CC402" t="s">
        <v>149</v>
      </c>
      <c r="CD402" t="s">
        <v>124</v>
      </c>
      <c r="CL402">
        <v>2</v>
      </c>
    </row>
    <row r="403" spans="1:90">
      <c r="A403" s="33" t="s">
        <v>655</v>
      </c>
      <c r="B403" s="33" t="s">
        <v>172</v>
      </c>
      <c r="C403" s="33" t="s">
        <v>152</v>
      </c>
      <c r="D403" s="33" t="s">
        <v>132</v>
      </c>
      <c r="E403" s="33" t="s">
        <v>210</v>
      </c>
      <c r="F403" s="33"/>
      <c r="G403" s="33"/>
      <c r="H403" s="33"/>
      <c r="I403" t="s">
        <v>156</v>
      </c>
      <c r="J403" t="s">
        <v>156</v>
      </c>
      <c r="K403" t="s">
        <v>654</v>
      </c>
      <c r="L403">
        <v>2</v>
      </c>
      <c r="CA403" t="s">
        <v>740</v>
      </c>
      <c r="CB403" t="s">
        <v>279</v>
      </c>
      <c r="CC403" t="s">
        <v>152</v>
      </c>
      <c r="CD403" t="s">
        <v>118</v>
      </c>
      <c r="CL403">
        <v>2</v>
      </c>
    </row>
    <row r="404" spans="1:90">
      <c r="A404" s="33" t="s">
        <v>656</v>
      </c>
      <c r="B404" s="33" t="s">
        <v>172</v>
      </c>
      <c r="C404" s="33" t="s">
        <v>152</v>
      </c>
      <c r="D404" s="33" t="s">
        <v>124</v>
      </c>
      <c r="E404" s="33"/>
      <c r="F404" s="33"/>
      <c r="G404" s="33"/>
      <c r="H404" s="33"/>
      <c r="L404">
        <v>2</v>
      </c>
      <c r="CA404" t="s">
        <v>741</v>
      </c>
      <c r="CB404" t="s">
        <v>279</v>
      </c>
      <c r="CC404" t="s">
        <v>216</v>
      </c>
      <c r="CD404" t="s">
        <v>118</v>
      </c>
      <c r="CL404">
        <v>2</v>
      </c>
    </row>
    <row r="405" spans="1:90">
      <c r="A405" s="33" t="s">
        <v>657</v>
      </c>
      <c r="B405" s="33" t="s">
        <v>172</v>
      </c>
      <c r="C405" s="33" t="s">
        <v>149</v>
      </c>
      <c r="D405" s="33" t="s">
        <v>124</v>
      </c>
      <c r="E405" s="33" t="s">
        <v>153</v>
      </c>
      <c r="F405" s="33"/>
      <c r="G405" s="33"/>
      <c r="H405" s="33"/>
      <c r="I405" t="s">
        <v>168</v>
      </c>
      <c r="J405" t="s">
        <v>181</v>
      </c>
      <c r="K405" t="s">
        <v>349</v>
      </c>
      <c r="L405">
        <v>2</v>
      </c>
      <c r="CA405" t="s">
        <v>742</v>
      </c>
      <c r="CB405" t="s">
        <v>279</v>
      </c>
      <c r="CC405" t="s">
        <v>152</v>
      </c>
      <c r="CD405" t="s">
        <v>118</v>
      </c>
      <c r="CL405">
        <v>2</v>
      </c>
    </row>
    <row r="406" spans="1:90">
      <c r="A406" s="33" t="s">
        <v>658</v>
      </c>
      <c r="B406" s="33" t="s">
        <v>172</v>
      </c>
      <c r="C406" s="33" t="s">
        <v>152</v>
      </c>
      <c r="D406" s="33" t="s">
        <v>138</v>
      </c>
      <c r="E406" s="33"/>
      <c r="F406" s="33"/>
      <c r="G406" s="33"/>
      <c r="H406" s="33"/>
      <c r="L406">
        <v>2</v>
      </c>
      <c r="CA406" t="s">
        <v>743</v>
      </c>
      <c r="CB406" t="s">
        <v>215</v>
      </c>
      <c r="CC406" t="s">
        <v>149</v>
      </c>
      <c r="CD406" t="s">
        <v>124</v>
      </c>
      <c r="CL406">
        <v>2</v>
      </c>
    </row>
    <row r="407" spans="1:90">
      <c r="A407" s="33" t="s">
        <v>659</v>
      </c>
      <c r="B407" s="33" t="s">
        <v>172</v>
      </c>
      <c r="C407" s="33" t="s">
        <v>149</v>
      </c>
      <c r="D407" s="33" t="s">
        <v>124</v>
      </c>
      <c r="E407" s="33"/>
      <c r="F407" s="33"/>
      <c r="G407" s="33"/>
      <c r="H407" s="33"/>
      <c r="L407">
        <v>2</v>
      </c>
      <c r="CA407" t="s">
        <v>744</v>
      </c>
      <c r="CB407" t="s">
        <v>215</v>
      </c>
      <c r="CC407" t="s">
        <v>149</v>
      </c>
      <c r="CD407" t="s">
        <v>124</v>
      </c>
      <c r="CF407" t="s">
        <v>745</v>
      </c>
      <c r="CH407" t="s">
        <v>164</v>
      </c>
      <c r="CL407">
        <v>2</v>
      </c>
    </row>
    <row r="408" spans="1:90">
      <c r="A408" s="33" t="s">
        <v>660</v>
      </c>
      <c r="B408" s="33" t="s">
        <v>172</v>
      </c>
      <c r="C408" s="33" t="s">
        <v>149</v>
      </c>
      <c r="D408" s="33" t="s">
        <v>124</v>
      </c>
      <c r="E408" s="33"/>
      <c r="F408" s="33"/>
      <c r="G408" s="33"/>
      <c r="H408" s="33"/>
      <c r="L408">
        <v>2</v>
      </c>
      <c r="CA408" t="s">
        <v>746</v>
      </c>
      <c r="CB408" t="s">
        <v>215</v>
      </c>
      <c r="CC408" t="s">
        <v>149</v>
      </c>
      <c r="CD408" t="s">
        <v>118</v>
      </c>
      <c r="CL408">
        <v>2</v>
      </c>
    </row>
    <row r="409" spans="1:90">
      <c r="A409" s="33" t="s">
        <v>661</v>
      </c>
      <c r="B409" s="33" t="s">
        <v>172</v>
      </c>
      <c r="C409" s="33" t="s">
        <v>149</v>
      </c>
      <c r="D409" s="33" t="s">
        <v>124</v>
      </c>
      <c r="E409" s="33"/>
      <c r="F409" s="33"/>
      <c r="G409" s="33"/>
      <c r="H409" s="33"/>
      <c r="L409">
        <v>2</v>
      </c>
      <c r="CA409" t="s">
        <v>747</v>
      </c>
      <c r="CB409" t="s">
        <v>175</v>
      </c>
      <c r="CC409" t="s">
        <v>152</v>
      </c>
      <c r="CD409" t="s">
        <v>118</v>
      </c>
      <c r="CL409">
        <v>2</v>
      </c>
    </row>
    <row r="410" spans="1:90">
      <c r="A410" s="33" t="s">
        <v>662</v>
      </c>
      <c r="B410" s="33" t="s">
        <v>172</v>
      </c>
      <c r="C410" s="33" t="s">
        <v>149</v>
      </c>
      <c r="D410" s="33" t="s">
        <v>118</v>
      </c>
      <c r="E410" s="33"/>
      <c r="F410" s="33"/>
      <c r="G410" s="33"/>
      <c r="H410" s="33"/>
      <c r="L410">
        <v>2</v>
      </c>
      <c r="CA410" t="s">
        <v>748</v>
      </c>
      <c r="CB410" t="s">
        <v>175</v>
      </c>
      <c r="CC410" t="s">
        <v>152</v>
      </c>
      <c r="CD410" t="s">
        <v>124</v>
      </c>
      <c r="CL410">
        <v>2</v>
      </c>
    </row>
    <row r="411" spans="1:90">
      <c r="A411" s="33" t="s">
        <v>663</v>
      </c>
      <c r="B411" s="33" t="s">
        <v>172</v>
      </c>
      <c r="C411" s="33" t="s">
        <v>216</v>
      </c>
      <c r="D411" s="33" t="s">
        <v>132</v>
      </c>
      <c r="E411" s="33"/>
      <c r="F411" s="33"/>
      <c r="G411" s="33"/>
      <c r="H411" s="33"/>
      <c r="L411">
        <v>2</v>
      </c>
      <c r="CA411" t="s">
        <v>749</v>
      </c>
      <c r="CB411" t="s">
        <v>175</v>
      </c>
      <c r="CC411" t="s">
        <v>152</v>
      </c>
      <c r="CD411" t="s">
        <v>118</v>
      </c>
      <c r="CL411">
        <v>2</v>
      </c>
    </row>
    <row r="412" spans="1:90">
      <c r="A412" s="33" t="s">
        <v>664</v>
      </c>
      <c r="B412" s="33" t="s">
        <v>172</v>
      </c>
      <c r="C412" s="33" t="s">
        <v>152</v>
      </c>
      <c r="D412" s="33" t="s">
        <v>118</v>
      </c>
      <c r="E412" s="33"/>
      <c r="F412" s="33"/>
      <c r="G412" s="33"/>
      <c r="H412" s="33"/>
      <c r="L412">
        <v>2</v>
      </c>
      <c r="CA412" t="s">
        <v>750</v>
      </c>
      <c r="CB412" t="s">
        <v>116</v>
      </c>
      <c r="CC412" t="s">
        <v>751</v>
      </c>
      <c r="CD412" t="s">
        <v>118</v>
      </c>
      <c r="CF412" t="s">
        <v>273</v>
      </c>
      <c r="CH412" t="s">
        <v>164</v>
      </c>
      <c r="CL412">
        <v>2</v>
      </c>
    </row>
    <row r="413" spans="1:90">
      <c r="A413" s="33" t="s">
        <v>665</v>
      </c>
      <c r="B413" s="33" t="s">
        <v>172</v>
      </c>
      <c r="C413" s="33" t="s">
        <v>149</v>
      </c>
      <c r="D413" s="33" t="s">
        <v>124</v>
      </c>
      <c r="E413" s="33"/>
      <c r="F413" s="33"/>
      <c r="G413" s="33"/>
      <c r="H413" s="33"/>
      <c r="L413">
        <v>2</v>
      </c>
      <c r="CA413" t="s">
        <v>752</v>
      </c>
      <c r="CB413" t="s">
        <v>151</v>
      </c>
      <c r="CC413" t="s">
        <v>149</v>
      </c>
      <c r="CD413" t="s">
        <v>118</v>
      </c>
      <c r="CL413">
        <v>2</v>
      </c>
    </row>
    <row r="414" spans="1:90">
      <c r="A414" s="33" t="s">
        <v>666</v>
      </c>
      <c r="B414" s="33" t="s">
        <v>172</v>
      </c>
      <c r="C414" s="33" t="s">
        <v>149</v>
      </c>
      <c r="D414" s="33" t="s">
        <v>118</v>
      </c>
      <c r="E414" s="33"/>
      <c r="F414" s="33"/>
      <c r="G414" s="33"/>
      <c r="H414" s="33"/>
      <c r="L414">
        <v>2</v>
      </c>
      <c r="CA414" t="s">
        <v>753</v>
      </c>
      <c r="CB414" t="s">
        <v>160</v>
      </c>
      <c r="CC414" t="s">
        <v>135</v>
      </c>
      <c r="CD414" t="s">
        <v>118</v>
      </c>
      <c r="CL414">
        <v>2</v>
      </c>
    </row>
    <row r="415" spans="1:90">
      <c r="A415" t="s">
        <v>667</v>
      </c>
      <c r="B415" t="s">
        <v>279</v>
      </c>
      <c r="C415" t="s">
        <v>149</v>
      </c>
      <c r="D415" t="s">
        <v>118</v>
      </c>
      <c r="L415">
        <v>2</v>
      </c>
      <c r="CA415" t="s">
        <v>754</v>
      </c>
      <c r="CB415" t="s">
        <v>151</v>
      </c>
      <c r="CC415" t="s">
        <v>152</v>
      </c>
      <c r="CD415" t="s">
        <v>118</v>
      </c>
      <c r="CF415" t="s">
        <v>163</v>
      </c>
      <c r="CH415" t="s">
        <v>164</v>
      </c>
      <c r="CL415">
        <v>2</v>
      </c>
    </row>
    <row r="416" spans="1:90">
      <c r="A416" t="s">
        <v>668</v>
      </c>
      <c r="B416" t="s">
        <v>279</v>
      </c>
      <c r="C416" t="s">
        <v>152</v>
      </c>
      <c r="D416" t="s">
        <v>124</v>
      </c>
      <c r="L416">
        <v>2</v>
      </c>
      <c r="CA416" t="s">
        <v>755</v>
      </c>
      <c r="CB416" t="s">
        <v>175</v>
      </c>
      <c r="CC416" t="s">
        <v>149</v>
      </c>
      <c r="CD416" t="s">
        <v>118</v>
      </c>
      <c r="CL416">
        <v>2</v>
      </c>
    </row>
    <row r="417" spans="1:90">
      <c r="A417" t="s">
        <v>669</v>
      </c>
      <c r="B417" t="s">
        <v>279</v>
      </c>
      <c r="C417" t="s">
        <v>152</v>
      </c>
      <c r="D417" t="s">
        <v>118</v>
      </c>
      <c r="L417">
        <v>2</v>
      </c>
      <c r="CA417" t="s">
        <v>756</v>
      </c>
      <c r="CB417" t="s">
        <v>279</v>
      </c>
      <c r="CC417" t="s">
        <v>149</v>
      </c>
      <c r="CD417" t="s">
        <v>118</v>
      </c>
      <c r="CL417">
        <v>2</v>
      </c>
    </row>
    <row r="418" spans="1:90">
      <c r="A418" t="s">
        <v>670</v>
      </c>
      <c r="B418" t="s">
        <v>279</v>
      </c>
      <c r="C418" t="s">
        <v>152</v>
      </c>
      <c r="D418" t="s">
        <v>118</v>
      </c>
      <c r="L418">
        <v>2</v>
      </c>
      <c r="CA418" t="s">
        <v>759</v>
      </c>
      <c r="CB418" t="s">
        <v>215</v>
      </c>
      <c r="CC418" t="s">
        <v>149</v>
      </c>
      <c r="CD418" t="s">
        <v>124</v>
      </c>
      <c r="CL418">
        <v>2</v>
      </c>
    </row>
    <row r="419" spans="1:90">
      <c r="A419" t="s">
        <v>671</v>
      </c>
      <c r="B419" t="s">
        <v>279</v>
      </c>
      <c r="C419" t="s">
        <v>152</v>
      </c>
      <c r="D419" t="s">
        <v>118</v>
      </c>
      <c r="L419">
        <v>2</v>
      </c>
      <c r="CA419" t="s">
        <v>760</v>
      </c>
      <c r="CB419" t="s">
        <v>116</v>
      </c>
      <c r="CC419" t="s">
        <v>149</v>
      </c>
      <c r="CD419" t="s">
        <v>118</v>
      </c>
      <c r="CF419" t="s">
        <v>370</v>
      </c>
      <c r="CH419" t="s">
        <v>164</v>
      </c>
      <c r="CL419">
        <v>3</v>
      </c>
    </row>
    <row r="420" spans="1:90">
      <c r="A420" t="s">
        <v>672</v>
      </c>
      <c r="B420" t="s">
        <v>279</v>
      </c>
      <c r="C420" t="s">
        <v>149</v>
      </c>
      <c r="D420" t="s">
        <v>124</v>
      </c>
      <c r="L420">
        <v>2</v>
      </c>
      <c r="CA420" t="s">
        <v>761</v>
      </c>
      <c r="CB420" t="s">
        <v>151</v>
      </c>
      <c r="CC420" t="s">
        <v>149</v>
      </c>
      <c r="CD420" t="s">
        <v>118</v>
      </c>
      <c r="CL420">
        <v>3</v>
      </c>
    </row>
    <row r="421" spans="1:90">
      <c r="A421" t="s">
        <v>673</v>
      </c>
      <c r="B421" t="s">
        <v>279</v>
      </c>
      <c r="C421" t="s">
        <v>149</v>
      </c>
      <c r="D421" t="s">
        <v>118</v>
      </c>
      <c r="L421">
        <v>2</v>
      </c>
      <c r="CA421" t="s">
        <v>762</v>
      </c>
      <c r="CB421" t="s">
        <v>151</v>
      </c>
      <c r="CC421" t="s">
        <v>152</v>
      </c>
      <c r="CD421" t="s">
        <v>118</v>
      </c>
      <c r="CJ421" t="s">
        <v>168</v>
      </c>
      <c r="CK421" t="s">
        <v>763</v>
      </c>
      <c r="CL421">
        <v>3</v>
      </c>
    </row>
    <row r="422" spans="1:90">
      <c r="A422" t="s">
        <v>674</v>
      </c>
      <c r="B422" t="s">
        <v>279</v>
      </c>
      <c r="C422" t="s">
        <v>152</v>
      </c>
      <c r="D422" t="s">
        <v>118</v>
      </c>
      <c r="L422">
        <v>2</v>
      </c>
      <c r="CA422" t="s">
        <v>764</v>
      </c>
      <c r="CB422" t="s">
        <v>151</v>
      </c>
      <c r="CC422" t="s">
        <v>152</v>
      </c>
      <c r="CD422" t="s">
        <v>118</v>
      </c>
      <c r="CE422" t="s">
        <v>167</v>
      </c>
      <c r="CI422" t="s">
        <v>168</v>
      </c>
      <c r="CJ422" t="s">
        <v>168</v>
      </c>
      <c r="CK422" t="s">
        <v>765</v>
      </c>
      <c r="CL422">
        <v>3</v>
      </c>
    </row>
    <row r="423" spans="1:90">
      <c r="A423" t="s">
        <v>675</v>
      </c>
      <c r="B423" t="s">
        <v>279</v>
      </c>
      <c r="C423" t="s">
        <v>277</v>
      </c>
      <c r="D423" t="s">
        <v>124</v>
      </c>
      <c r="L423">
        <v>2</v>
      </c>
      <c r="CA423" t="s">
        <v>766</v>
      </c>
      <c r="CB423" t="s">
        <v>162</v>
      </c>
      <c r="CC423" t="s">
        <v>152</v>
      </c>
      <c r="CD423" t="s">
        <v>118</v>
      </c>
      <c r="CL423">
        <v>3</v>
      </c>
    </row>
    <row r="424" spans="1:90">
      <c r="A424" t="s">
        <v>676</v>
      </c>
      <c r="B424" t="s">
        <v>279</v>
      </c>
      <c r="C424" t="s">
        <v>149</v>
      </c>
      <c r="D424" t="s">
        <v>124</v>
      </c>
      <c r="L424">
        <v>2</v>
      </c>
      <c r="CA424" t="s">
        <v>767</v>
      </c>
      <c r="CB424" t="s">
        <v>162</v>
      </c>
      <c r="CC424" t="s">
        <v>149</v>
      </c>
      <c r="CD424" t="s">
        <v>118</v>
      </c>
      <c r="CL424">
        <v>3</v>
      </c>
    </row>
    <row r="425" spans="1:90">
      <c r="A425" t="s">
        <v>677</v>
      </c>
      <c r="B425" t="s">
        <v>215</v>
      </c>
      <c r="C425" t="s">
        <v>152</v>
      </c>
      <c r="D425" t="s">
        <v>118</v>
      </c>
      <c r="L425">
        <v>2</v>
      </c>
      <c r="CA425" t="s">
        <v>768</v>
      </c>
      <c r="CB425" t="s">
        <v>151</v>
      </c>
      <c r="CC425" t="s">
        <v>152</v>
      </c>
      <c r="CD425" t="s">
        <v>124</v>
      </c>
      <c r="CE425" t="s">
        <v>167</v>
      </c>
      <c r="CF425" t="s">
        <v>163</v>
      </c>
      <c r="CH425" t="s">
        <v>164</v>
      </c>
      <c r="CI425" t="s">
        <v>168</v>
      </c>
      <c r="CJ425" t="s">
        <v>168</v>
      </c>
      <c r="CK425" t="s">
        <v>769</v>
      </c>
      <c r="CL425">
        <v>3</v>
      </c>
    </row>
    <row r="426" spans="1:90">
      <c r="A426" t="s">
        <v>678</v>
      </c>
      <c r="B426" t="s">
        <v>215</v>
      </c>
      <c r="C426" t="s">
        <v>149</v>
      </c>
      <c r="D426" t="s">
        <v>124</v>
      </c>
      <c r="L426">
        <v>2</v>
      </c>
      <c r="CA426" t="s">
        <v>770</v>
      </c>
      <c r="CB426" t="s">
        <v>151</v>
      </c>
      <c r="CC426" t="s">
        <v>152</v>
      </c>
      <c r="CD426" t="s">
        <v>118</v>
      </c>
      <c r="CL426">
        <v>3</v>
      </c>
    </row>
    <row r="427" spans="1:90">
      <c r="A427" t="s">
        <v>679</v>
      </c>
      <c r="B427" t="s">
        <v>215</v>
      </c>
      <c r="C427" t="s">
        <v>149</v>
      </c>
      <c r="D427" t="s">
        <v>124</v>
      </c>
      <c r="L427">
        <v>2</v>
      </c>
      <c r="CA427" t="s">
        <v>771</v>
      </c>
      <c r="CB427" t="s">
        <v>175</v>
      </c>
      <c r="CC427" t="s">
        <v>152</v>
      </c>
      <c r="CD427" t="s">
        <v>118</v>
      </c>
      <c r="CL427">
        <v>3</v>
      </c>
    </row>
    <row r="428" spans="1:90">
      <c r="A428" t="s">
        <v>680</v>
      </c>
      <c r="B428" t="s">
        <v>215</v>
      </c>
      <c r="C428" t="s">
        <v>149</v>
      </c>
      <c r="D428" t="s">
        <v>124</v>
      </c>
      <c r="L428">
        <v>2</v>
      </c>
      <c r="CA428" t="s">
        <v>772</v>
      </c>
      <c r="CB428" t="s">
        <v>175</v>
      </c>
      <c r="CC428" t="s">
        <v>149</v>
      </c>
      <c r="CD428" t="s">
        <v>118</v>
      </c>
      <c r="CL428">
        <v>3</v>
      </c>
    </row>
    <row r="429" spans="1:90">
      <c r="A429" t="s">
        <v>681</v>
      </c>
      <c r="B429" t="s">
        <v>215</v>
      </c>
      <c r="C429" t="s">
        <v>216</v>
      </c>
      <c r="D429" t="s">
        <v>132</v>
      </c>
      <c r="L429">
        <v>2</v>
      </c>
      <c r="CA429" s="33" t="s">
        <v>773</v>
      </c>
      <c r="CB429" s="33" t="s">
        <v>172</v>
      </c>
      <c r="CC429" s="33" t="s">
        <v>152</v>
      </c>
      <c r="CD429" s="33" t="s">
        <v>124</v>
      </c>
      <c r="CE429" s="33"/>
      <c r="CF429" s="33"/>
      <c r="CG429" s="33"/>
      <c r="CH429" s="33"/>
      <c r="CL429">
        <v>3</v>
      </c>
    </row>
    <row r="430" spans="1:90">
      <c r="A430" t="s">
        <v>682</v>
      </c>
      <c r="B430" t="s">
        <v>175</v>
      </c>
      <c r="C430" t="s">
        <v>152</v>
      </c>
      <c r="D430" t="s">
        <v>118</v>
      </c>
      <c r="L430">
        <v>2</v>
      </c>
      <c r="CA430" s="33" t="s">
        <v>774</v>
      </c>
      <c r="CB430" s="33" t="s">
        <v>172</v>
      </c>
      <c r="CC430" s="33" t="s">
        <v>152</v>
      </c>
      <c r="CD430" s="33" t="s">
        <v>118</v>
      </c>
      <c r="CE430" s="33"/>
      <c r="CF430" s="33"/>
      <c r="CG430" s="33"/>
      <c r="CH430" s="33"/>
      <c r="CL430">
        <v>3</v>
      </c>
    </row>
    <row r="431" spans="1:90">
      <c r="A431" t="s">
        <v>683</v>
      </c>
      <c r="B431" t="s">
        <v>175</v>
      </c>
      <c r="C431" t="s">
        <v>149</v>
      </c>
      <c r="D431" t="s">
        <v>124</v>
      </c>
      <c r="L431">
        <v>2</v>
      </c>
      <c r="CA431" s="33" t="s">
        <v>775</v>
      </c>
      <c r="CB431" s="33" t="s">
        <v>172</v>
      </c>
      <c r="CC431" s="33" t="s">
        <v>152</v>
      </c>
      <c r="CD431" s="33" t="s">
        <v>124</v>
      </c>
      <c r="CE431" s="33"/>
      <c r="CF431" s="33"/>
      <c r="CG431" s="33"/>
      <c r="CH431" s="33"/>
      <c r="CL431">
        <v>3</v>
      </c>
    </row>
    <row r="432" spans="1:90">
      <c r="A432" t="s">
        <v>684</v>
      </c>
      <c r="B432" t="s">
        <v>151</v>
      </c>
      <c r="C432" t="s">
        <v>149</v>
      </c>
      <c r="D432" t="s">
        <v>118</v>
      </c>
      <c r="L432">
        <v>2</v>
      </c>
      <c r="CA432" s="33" t="s">
        <v>776</v>
      </c>
      <c r="CB432" s="33" t="s">
        <v>172</v>
      </c>
      <c r="CC432" s="33" t="s">
        <v>152</v>
      </c>
      <c r="CD432" s="33" t="s">
        <v>124</v>
      </c>
      <c r="CE432" s="33"/>
      <c r="CF432" s="33"/>
      <c r="CG432" s="33"/>
      <c r="CH432" s="33"/>
      <c r="CL432">
        <v>3</v>
      </c>
    </row>
    <row r="433" spans="1:90">
      <c r="A433" t="s">
        <v>685</v>
      </c>
      <c r="B433" t="s">
        <v>151</v>
      </c>
      <c r="C433" t="s">
        <v>149</v>
      </c>
      <c r="D433" t="s">
        <v>124</v>
      </c>
      <c r="E433" t="s">
        <v>153</v>
      </c>
      <c r="I433" t="s">
        <v>181</v>
      </c>
      <c r="J433" t="s">
        <v>156</v>
      </c>
      <c r="K433" t="s">
        <v>686</v>
      </c>
      <c r="L433">
        <v>2</v>
      </c>
      <c r="CA433" s="33" t="s">
        <v>777</v>
      </c>
      <c r="CB433" s="33" t="s">
        <v>172</v>
      </c>
      <c r="CC433" s="33" t="s">
        <v>152</v>
      </c>
      <c r="CD433" s="33" t="s">
        <v>124</v>
      </c>
      <c r="CE433" s="33"/>
      <c r="CF433" s="33"/>
      <c r="CG433" s="33"/>
      <c r="CH433" s="33"/>
      <c r="CL433">
        <v>3</v>
      </c>
    </row>
    <row r="434" spans="1:90">
      <c r="A434" s="33" t="s">
        <v>687</v>
      </c>
      <c r="B434" s="33" t="s">
        <v>172</v>
      </c>
      <c r="C434" s="33" t="s">
        <v>149</v>
      </c>
      <c r="D434" s="33" t="s">
        <v>143</v>
      </c>
      <c r="E434" s="33" t="s">
        <v>153</v>
      </c>
      <c r="F434" s="33"/>
      <c r="G434" s="33"/>
      <c r="H434" s="33"/>
      <c r="I434" t="s">
        <v>221</v>
      </c>
      <c r="J434" t="s">
        <v>181</v>
      </c>
      <c r="K434" t="s">
        <v>224</v>
      </c>
      <c r="L434">
        <v>2</v>
      </c>
      <c r="CA434" s="33" t="s">
        <v>778</v>
      </c>
      <c r="CB434" s="33" t="s">
        <v>172</v>
      </c>
      <c r="CC434" s="33" t="s">
        <v>149</v>
      </c>
      <c r="CD434" s="33" t="s">
        <v>124</v>
      </c>
      <c r="CE434" s="33"/>
      <c r="CF434" s="33"/>
      <c r="CG434" s="33"/>
      <c r="CH434" s="33"/>
      <c r="CL434">
        <v>3</v>
      </c>
    </row>
    <row r="435" spans="1:90">
      <c r="A435" t="s">
        <v>688</v>
      </c>
      <c r="B435" t="s">
        <v>116</v>
      </c>
      <c r="C435" t="s">
        <v>117</v>
      </c>
      <c r="D435" t="s">
        <v>118</v>
      </c>
      <c r="L435">
        <v>2</v>
      </c>
      <c r="CA435" s="33" t="s">
        <v>779</v>
      </c>
      <c r="CB435" s="33" t="s">
        <v>172</v>
      </c>
      <c r="CC435" s="33" t="s">
        <v>152</v>
      </c>
      <c r="CD435" s="33" t="s">
        <v>143</v>
      </c>
      <c r="CE435" s="33"/>
      <c r="CF435" s="33"/>
      <c r="CG435" s="33"/>
      <c r="CH435" s="33"/>
      <c r="CL435">
        <v>3</v>
      </c>
    </row>
    <row r="436" spans="1:90">
      <c r="A436" t="s">
        <v>689</v>
      </c>
      <c r="B436" t="s">
        <v>116</v>
      </c>
      <c r="C436" t="s">
        <v>117</v>
      </c>
      <c r="D436" t="s">
        <v>118</v>
      </c>
      <c r="F436" t="s">
        <v>370</v>
      </c>
      <c r="H436" t="s">
        <v>164</v>
      </c>
      <c r="L436">
        <v>2</v>
      </c>
      <c r="CA436" s="33" t="s">
        <v>155</v>
      </c>
      <c r="CB436" s="33" t="s">
        <v>172</v>
      </c>
      <c r="CC436" s="33" t="s">
        <v>149</v>
      </c>
      <c r="CD436" s="33" t="s">
        <v>124</v>
      </c>
      <c r="CE436" s="33"/>
      <c r="CF436" s="33"/>
      <c r="CG436" s="33"/>
      <c r="CH436" s="33"/>
      <c r="CL436">
        <v>3</v>
      </c>
    </row>
    <row r="437" spans="1:90">
      <c r="A437" t="s">
        <v>690</v>
      </c>
      <c r="B437" t="s">
        <v>116</v>
      </c>
      <c r="C437" t="s">
        <v>152</v>
      </c>
      <c r="D437" t="s">
        <v>118</v>
      </c>
      <c r="F437" t="s">
        <v>370</v>
      </c>
      <c r="H437" t="s">
        <v>164</v>
      </c>
      <c r="L437">
        <v>2</v>
      </c>
      <c r="CA437" s="33" t="s">
        <v>780</v>
      </c>
      <c r="CB437" s="33" t="s">
        <v>172</v>
      </c>
      <c r="CC437" s="33" t="s">
        <v>152</v>
      </c>
      <c r="CD437" s="33" t="s">
        <v>124</v>
      </c>
      <c r="CE437" s="33"/>
      <c r="CF437" s="33"/>
      <c r="CG437" s="33"/>
      <c r="CH437" s="33"/>
      <c r="CL437">
        <v>3</v>
      </c>
    </row>
    <row r="438" spans="1:90">
      <c r="A438" t="s">
        <v>691</v>
      </c>
      <c r="B438" t="s">
        <v>116</v>
      </c>
      <c r="C438" t="s">
        <v>152</v>
      </c>
      <c r="D438" t="s">
        <v>118</v>
      </c>
      <c r="F438" t="s">
        <v>370</v>
      </c>
      <c r="H438" t="s">
        <v>164</v>
      </c>
      <c r="L438">
        <v>2</v>
      </c>
      <c r="CA438" t="s">
        <v>781</v>
      </c>
      <c r="CB438" t="s">
        <v>279</v>
      </c>
      <c r="CC438" t="s">
        <v>149</v>
      </c>
      <c r="CD438" t="s">
        <v>118</v>
      </c>
      <c r="CL438">
        <v>3</v>
      </c>
    </row>
    <row r="439" spans="1:90">
      <c r="A439" t="s">
        <v>692</v>
      </c>
      <c r="B439" t="s">
        <v>151</v>
      </c>
      <c r="C439" t="s">
        <v>216</v>
      </c>
      <c r="D439" t="s">
        <v>124</v>
      </c>
      <c r="J439">
        <v>42317</v>
      </c>
      <c r="L439">
        <v>2</v>
      </c>
      <c r="CA439" t="s">
        <v>782</v>
      </c>
      <c r="CB439" t="s">
        <v>279</v>
      </c>
      <c r="CC439" t="s">
        <v>152</v>
      </c>
      <c r="CD439" t="s">
        <v>124</v>
      </c>
      <c r="CL439">
        <v>3</v>
      </c>
    </row>
    <row r="440" spans="1:90">
      <c r="A440" t="s">
        <v>693</v>
      </c>
      <c r="B440" t="s">
        <v>151</v>
      </c>
      <c r="C440" t="s">
        <v>277</v>
      </c>
      <c r="D440" t="s">
        <v>124</v>
      </c>
      <c r="F440" t="s">
        <v>163</v>
      </c>
      <c r="H440" t="s">
        <v>164</v>
      </c>
      <c r="L440">
        <v>2</v>
      </c>
      <c r="CA440" t="s">
        <v>783</v>
      </c>
      <c r="CB440" t="s">
        <v>279</v>
      </c>
      <c r="CC440" t="s">
        <v>149</v>
      </c>
      <c r="CD440" t="s">
        <v>124</v>
      </c>
      <c r="CL440">
        <v>3</v>
      </c>
    </row>
    <row r="441" spans="1:90">
      <c r="A441" t="s">
        <v>694</v>
      </c>
      <c r="B441" t="s">
        <v>151</v>
      </c>
      <c r="C441" t="s">
        <v>152</v>
      </c>
      <c r="D441" t="s">
        <v>118</v>
      </c>
      <c r="F441" t="s">
        <v>163</v>
      </c>
      <c r="H441" t="s">
        <v>164</v>
      </c>
      <c r="L441">
        <v>2</v>
      </c>
      <c r="CA441" t="s">
        <v>784</v>
      </c>
      <c r="CB441" t="s">
        <v>279</v>
      </c>
      <c r="CC441" t="s">
        <v>152</v>
      </c>
      <c r="CD441" t="s">
        <v>124</v>
      </c>
      <c r="CL441">
        <v>3</v>
      </c>
    </row>
    <row r="442" spans="1:90">
      <c r="A442" t="s">
        <v>695</v>
      </c>
      <c r="B442" t="s">
        <v>151</v>
      </c>
      <c r="C442" t="s">
        <v>152</v>
      </c>
      <c r="D442" t="s">
        <v>124</v>
      </c>
      <c r="L442">
        <v>2</v>
      </c>
      <c r="CA442" t="s">
        <v>785</v>
      </c>
      <c r="CB442" t="s">
        <v>279</v>
      </c>
      <c r="CC442" t="s">
        <v>149</v>
      </c>
      <c r="CD442" t="s">
        <v>118</v>
      </c>
      <c r="CL442">
        <v>3</v>
      </c>
    </row>
    <row r="443" spans="1:90">
      <c r="A443" t="s">
        <v>696</v>
      </c>
      <c r="B443" t="s">
        <v>151</v>
      </c>
      <c r="C443" t="s">
        <v>152</v>
      </c>
      <c r="D443" t="s">
        <v>124</v>
      </c>
      <c r="F443" t="s">
        <v>370</v>
      </c>
      <c r="H443" t="s">
        <v>164</v>
      </c>
      <c r="L443">
        <v>2</v>
      </c>
      <c r="CA443" t="s">
        <v>786</v>
      </c>
      <c r="CB443" t="s">
        <v>279</v>
      </c>
      <c r="CC443" t="s">
        <v>216</v>
      </c>
      <c r="CD443" t="s">
        <v>124</v>
      </c>
      <c r="CL443">
        <v>3</v>
      </c>
    </row>
    <row r="444" spans="1:90">
      <c r="A444" t="s">
        <v>697</v>
      </c>
      <c r="B444" t="s">
        <v>151</v>
      </c>
      <c r="C444" t="s">
        <v>152</v>
      </c>
      <c r="D444" t="s">
        <v>124</v>
      </c>
      <c r="L444">
        <v>2</v>
      </c>
      <c r="CA444" t="s">
        <v>787</v>
      </c>
      <c r="CB444" t="s">
        <v>215</v>
      </c>
      <c r="CC444" t="s">
        <v>216</v>
      </c>
      <c r="CD444" t="s">
        <v>124</v>
      </c>
      <c r="CL444">
        <v>3</v>
      </c>
    </row>
    <row r="445" spans="1:90">
      <c r="A445" t="s">
        <v>698</v>
      </c>
      <c r="B445" t="s">
        <v>175</v>
      </c>
      <c r="C445" t="s">
        <v>117</v>
      </c>
      <c r="D445" t="s">
        <v>124</v>
      </c>
      <c r="E445" t="s">
        <v>260</v>
      </c>
      <c r="F445" t="s">
        <v>370</v>
      </c>
      <c r="H445" t="s">
        <v>164</v>
      </c>
      <c r="I445" t="s">
        <v>186</v>
      </c>
      <c r="J445" t="s">
        <v>168</v>
      </c>
      <c r="K445" t="s">
        <v>224</v>
      </c>
      <c r="L445">
        <v>2</v>
      </c>
      <c r="CA445" t="s">
        <v>788</v>
      </c>
      <c r="CB445" t="s">
        <v>215</v>
      </c>
      <c r="CC445" t="s">
        <v>149</v>
      </c>
      <c r="CD445" t="s">
        <v>124</v>
      </c>
      <c r="CF445" t="s">
        <v>745</v>
      </c>
      <c r="CH445" t="s">
        <v>164</v>
      </c>
      <c r="CL445">
        <v>3</v>
      </c>
    </row>
    <row r="446" spans="1:90">
      <c r="A446" t="s">
        <v>699</v>
      </c>
      <c r="B446" t="s">
        <v>160</v>
      </c>
      <c r="C446" t="s">
        <v>117</v>
      </c>
      <c r="D446" t="s">
        <v>118</v>
      </c>
      <c r="E446" t="s">
        <v>167</v>
      </c>
      <c r="I446" t="s">
        <v>418</v>
      </c>
      <c r="J446" t="s">
        <v>418</v>
      </c>
      <c r="L446">
        <v>2</v>
      </c>
      <c r="CA446" t="s">
        <v>789</v>
      </c>
      <c r="CB446" t="s">
        <v>175</v>
      </c>
      <c r="CC446" t="s">
        <v>152</v>
      </c>
      <c r="CD446" t="s">
        <v>118</v>
      </c>
      <c r="CL446">
        <v>3</v>
      </c>
    </row>
    <row r="447" spans="1:90">
      <c r="A447" t="s">
        <v>700</v>
      </c>
      <c r="B447" t="s">
        <v>160</v>
      </c>
      <c r="C447" t="s">
        <v>120</v>
      </c>
      <c r="D447" t="s">
        <v>118</v>
      </c>
      <c r="L447">
        <v>2</v>
      </c>
      <c r="CA447" t="s">
        <v>790</v>
      </c>
      <c r="CB447" t="s">
        <v>175</v>
      </c>
      <c r="CC447" t="s">
        <v>149</v>
      </c>
      <c r="CD447" t="s">
        <v>124</v>
      </c>
      <c r="CL447">
        <v>3</v>
      </c>
    </row>
    <row r="448" spans="1:90">
      <c r="A448" t="s">
        <v>701</v>
      </c>
      <c r="B448" t="s">
        <v>160</v>
      </c>
      <c r="C448" t="s">
        <v>120</v>
      </c>
      <c r="D448" t="s">
        <v>118</v>
      </c>
      <c r="L448">
        <v>2</v>
      </c>
      <c r="CA448" t="s">
        <v>791</v>
      </c>
      <c r="CB448" t="s">
        <v>175</v>
      </c>
      <c r="CC448" t="s">
        <v>152</v>
      </c>
      <c r="CD448" t="s">
        <v>118</v>
      </c>
      <c r="CL448">
        <v>3</v>
      </c>
    </row>
    <row r="449" spans="1:90">
      <c r="A449" t="s">
        <v>702</v>
      </c>
      <c r="B449" t="s">
        <v>160</v>
      </c>
      <c r="C449" t="s">
        <v>120</v>
      </c>
      <c r="D449" t="s">
        <v>118</v>
      </c>
      <c r="L449">
        <v>2</v>
      </c>
      <c r="CA449" t="s">
        <v>792</v>
      </c>
      <c r="CB449" t="s">
        <v>116</v>
      </c>
      <c r="CC449" t="s">
        <v>149</v>
      </c>
      <c r="CD449" t="s">
        <v>124</v>
      </c>
      <c r="CF449" t="s">
        <v>370</v>
      </c>
      <c r="CH449" t="s">
        <v>164</v>
      </c>
      <c r="CL449">
        <v>3</v>
      </c>
    </row>
    <row r="450" spans="1:90">
      <c r="A450" t="s">
        <v>703</v>
      </c>
      <c r="B450" t="s">
        <v>162</v>
      </c>
      <c r="C450" t="s">
        <v>149</v>
      </c>
      <c r="D450" t="s">
        <v>138</v>
      </c>
      <c r="L450">
        <v>2</v>
      </c>
      <c r="CA450" t="s">
        <v>793</v>
      </c>
      <c r="CB450" t="s">
        <v>151</v>
      </c>
      <c r="CC450" t="s">
        <v>149</v>
      </c>
      <c r="CD450" t="s">
        <v>124</v>
      </c>
      <c r="CE450" t="s">
        <v>167</v>
      </c>
      <c r="CI450" t="s">
        <v>221</v>
      </c>
      <c r="CJ450" t="s">
        <v>168</v>
      </c>
      <c r="CK450" t="s">
        <v>200</v>
      </c>
      <c r="CL450">
        <v>3</v>
      </c>
    </row>
    <row r="451" spans="1:90">
      <c r="A451" t="s">
        <v>704</v>
      </c>
      <c r="B451" t="s">
        <v>162</v>
      </c>
      <c r="C451" t="s">
        <v>149</v>
      </c>
      <c r="D451" t="s">
        <v>118</v>
      </c>
      <c r="L451">
        <v>2</v>
      </c>
      <c r="CA451" t="s">
        <v>794</v>
      </c>
      <c r="CB451" t="s">
        <v>175</v>
      </c>
      <c r="CC451" t="s">
        <v>149</v>
      </c>
      <c r="CD451" t="s">
        <v>124</v>
      </c>
      <c r="CL451">
        <v>3</v>
      </c>
    </row>
    <row r="452" spans="1:90">
      <c r="A452" t="s">
        <v>705</v>
      </c>
      <c r="B452" t="s">
        <v>162</v>
      </c>
      <c r="C452" t="s">
        <v>149</v>
      </c>
      <c r="D452" t="s">
        <v>124</v>
      </c>
      <c r="L452">
        <v>2</v>
      </c>
      <c r="CA452" t="s">
        <v>795</v>
      </c>
      <c r="CB452" t="s">
        <v>175</v>
      </c>
      <c r="CC452" t="s">
        <v>149</v>
      </c>
      <c r="CD452" t="s">
        <v>118</v>
      </c>
      <c r="CJ452">
        <v>42354</v>
      </c>
      <c r="CL452">
        <v>3</v>
      </c>
    </row>
    <row r="453" spans="1:90">
      <c r="A453" t="s">
        <v>706</v>
      </c>
      <c r="B453" t="s">
        <v>162</v>
      </c>
      <c r="C453" t="s">
        <v>152</v>
      </c>
      <c r="D453" t="s">
        <v>118</v>
      </c>
      <c r="L453">
        <v>2</v>
      </c>
      <c r="CA453" t="s">
        <v>796</v>
      </c>
      <c r="CB453" t="s">
        <v>215</v>
      </c>
      <c r="CC453" t="s">
        <v>149</v>
      </c>
      <c r="CD453" t="s">
        <v>118</v>
      </c>
      <c r="CL453">
        <v>3</v>
      </c>
    </row>
    <row r="454" spans="1:90">
      <c r="A454" t="s">
        <v>707</v>
      </c>
      <c r="B454" t="s">
        <v>162</v>
      </c>
      <c r="C454" t="s">
        <v>152</v>
      </c>
      <c r="D454" t="s">
        <v>118</v>
      </c>
      <c r="L454">
        <v>2</v>
      </c>
      <c r="CA454" t="s">
        <v>797</v>
      </c>
      <c r="CB454" t="s">
        <v>116</v>
      </c>
      <c r="CC454" t="s">
        <v>120</v>
      </c>
      <c r="CD454" t="s">
        <v>118</v>
      </c>
      <c r="CL454">
        <v>3</v>
      </c>
    </row>
    <row r="455" spans="1:90">
      <c r="A455" t="s">
        <v>708</v>
      </c>
      <c r="B455" t="s">
        <v>151</v>
      </c>
      <c r="C455" t="s">
        <v>277</v>
      </c>
      <c r="D455" t="s">
        <v>124</v>
      </c>
      <c r="E455" t="s">
        <v>167</v>
      </c>
      <c r="F455" t="s">
        <v>163</v>
      </c>
      <c r="H455" t="s">
        <v>164</v>
      </c>
      <c r="I455" t="s">
        <v>186</v>
      </c>
      <c r="J455" t="s">
        <v>186</v>
      </c>
      <c r="K455" t="s">
        <v>222</v>
      </c>
      <c r="L455">
        <v>2</v>
      </c>
      <c r="CA455" t="s">
        <v>798</v>
      </c>
      <c r="CB455" t="s">
        <v>116</v>
      </c>
      <c r="CC455" t="s">
        <v>117</v>
      </c>
      <c r="CD455" t="s">
        <v>118</v>
      </c>
      <c r="CF455" t="s">
        <v>370</v>
      </c>
      <c r="CG455" t="s">
        <v>163</v>
      </c>
      <c r="CH455" t="s">
        <v>164</v>
      </c>
      <c r="CL455">
        <v>3</v>
      </c>
    </row>
    <row r="456" spans="1:90">
      <c r="A456" t="s">
        <v>709</v>
      </c>
      <c r="B456" t="s">
        <v>151</v>
      </c>
      <c r="C456" t="s">
        <v>152</v>
      </c>
      <c r="D456" t="s">
        <v>132</v>
      </c>
      <c r="E456" t="s">
        <v>167</v>
      </c>
      <c r="I456" t="s">
        <v>186</v>
      </c>
      <c r="J456" t="s">
        <v>186</v>
      </c>
      <c r="K456" t="s">
        <v>710</v>
      </c>
      <c r="L456">
        <v>2</v>
      </c>
      <c r="CA456" t="s">
        <v>799</v>
      </c>
      <c r="CB456" t="s">
        <v>151</v>
      </c>
      <c r="CC456" t="s">
        <v>149</v>
      </c>
      <c r="CD456" t="s">
        <v>124</v>
      </c>
      <c r="CE456" t="s">
        <v>167</v>
      </c>
      <c r="CI456" t="s">
        <v>168</v>
      </c>
      <c r="CJ456" t="s">
        <v>168</v>
      </c>
      <c r="CK456" t="s">
        <v>800</v>
      </c>
      <c r="CL456">
        <v>3</v>
      </c>
    </row>
    <row r="457" spans="1:90">
      <c r="A457" t="s">
        <v>711</v>
      </c>
      <c r="B457" t="s">
        <v>151</v>
      </c>
      <c r="C457" t="s">
        <v>277</v>
      </c>
      <c r="D457" t="s">
        <v>124</v>
      </c>
      <c r="E457" t="s">
        <v>295</v>
      </c>
      <c r="I457" t="s">
        <v>168</v>
      </c>
      <c r="J457" t="s">
        <v>168</v>
      </c>
      <c r="K457" t="s">
        <v>712</v>
      </c>
      <c r="L457">
        <v>2</v>
      </c>
      <c r="CA457" t="s">
        <v>801</v>
      </c>
      <c r="CB457" t="s">
        <v>162</v>
      </c>
      <c r="CC457" t="s">
        <v>152</v>
      </c>
      <c r="CD457" t="s">
        <v>118</v>
      </c>
      <c r="CL457">
        <v>3</v>
      </c>
    </row>
    <row r="458" spans="1:90">
      <c r="A458" t="s">
        <v>713</v>
      </c>
      <c r="B458" t="s">
        <v>151</v>
      </c>
      <c r="C458" t="s">
        <v>152</v>
      </c>
      <c r="D458" t="s">
        <v>118</v>
      </c>
      <c r="L458">
        <v>2</v>
      </c>
      <c r="CA458" t="s">
        <v>804</v>
      </c>
      <c r="CB458" t="s">
        <v>151</v>
      </c>
      <c r="CC458" t="s">
        <v>152</v>
      </c>
      <c r="CD458" t="s">
        <v>143</v>
      </c>
      <c r="CE458" t="s">
        <v>167</v>
      </c>
      <c r="CF458" t="s">
        <v>370</v>
      </c>
      <c r="CG458" t="s">
        <v>519</v>
      </c>
      <c r="CH458" t="s">
        <v>164</v>
      </c>
      <c r="CI458" t="s">
        <v>186</v>
      </c>
      <c r="CJ458" t="s">
        <v>186</v>
      </c>
      <c r="CK458" t="s">
        <v>805</v>
      </c>
      <c r="CL458">
        <v>3</v>
      </c>
    </row>
    <row r="459" spans="1:90">
      <c r="A459" t="s">
        <v>714</v>
      </c>
      <c r="B459" t="s">
        <v>151</v>
      </c>
      <c r="C459" t="s">
        <v>152</v>
      </c>
      <c r="D459" t="s">
        <v>124</v>
      </c>
      <c r="E459" t="s">
        <v>180</v>
      </c>
      <c r="I459" t="s">
        <v>186</v>
      </c>
      <c r="J459" t="s">
        <v>168</v>
      </c>
      <c r="K459" t="s">
        <v>715</v>
      </c>
      <c r="L459">
        <v>2</v>
      </c>
      <c r="CA459" t="s">
        <v>806</v>
      </c>
      <c r="CB459" t="s">
        <v>175</v>
      </c>
      <c r="CC459" t="s">
        <v>152</v>
      </c>
      <c r="CD459" t="s">
        <v>132</v>
      </c>
      <c r="CF459" t="s">
        <v>370</v>
      </c>
      <c r="CH459" t="s">
        <v>164</v>
      </c>
      <c r="CL459">
        <v>3</v>
      </c>
    </row>
    <row r="460" spans="1:90">
      <c r="A460" t="s">
        <v>716</v>
      </c>
      <c r="B460" t="s">
        <v>151</v>
      </c>
      <c r="C460" t="s">
        <v>152</v>
      </c>
      <c r="D460" t="s">
        <v>124</v>
      </c>
      <c r="E460" t="s">
        <v>180</v>
      </c>
      <c r="I460" t="s">
        <v>186</v>
      </c>
      <c r="J460" t="s">
        <v>156</v>
      </c>
      <c r="K460" t="s">
        <v>349</v>
      </c>
      <c r="L460">
        <v>2</v>
      </c>
      <c r="CA460" t="s">
        <v>807</v>
      </c>
      <c r="CB460" t="s">
        <v>175</v>
      </c>
      <c r="CC460" t="s">
        <v>152</v>
      </c>
      <c r="CD460" t="s">
        <v>118</v>
      </c>
      <c r="CF460" t="s">
        <v>163</v>
      </c>
      <c r="CG460" t="s">
        <v>273</v>
      </c>
      <c r="CH460" t="s">
        <v>164</v>
      </c>
      <c r="CL460">
        <v>3</v>
      </c>
    </row>
    <row r="461" spans="1:90">
      <c r="A461" t="s">
        <v>717</v>
      </c>
      <c r="B461" t="s">
        <v>151</v>
      </c>
      <c r="C461" t="s">
        <v>152</v>
      </c>
      <c r="D461" t="s">
        <v>124</v>
      </c>
      <c r="E461" t="s">
        <v>167</v>
      </c>
      <c r="I461" t="s">
        <v>181</v>
      </c>
      <c r="J461" t="s">
        <v>181</v>
      </c>
      <c r="K461" t="s">
        <v>222</v>
      </c>
      <c r="L461">
        <v>2</v>
      </c>
      <c r="CA461" t="s">
        <v>808</v>
      </c>
      <c r="CB461" t="s">
        <v>175</v>
      </c>
      <c r="CC461" t="s">
        <v>149</v>
      </c>
      <c r="CD461" t="s">
        <v>118</v>
      </c>
      <c r="CL461">
        <v>3</v>
      </c>
    </row>
    <row r="462" spans="1:90">
      <c r="A462" t="s">
        <v>718</v>
      </c>
      <c r="B462" t="s">
        <v>151</v>
      </c>
      <c r="C462" t="s">
        <v>277</v>
      </c>
      <c r="D462" t="s">
        <v>132</v>
      </c>
      <c r="E462" t="s">
        <v>167</v>
      </c>
      <c r="I462">
        <v>42347</v>
      </c>
      <c r="J462">
        <v>42347</v>
      </c>
      <c r="K462" t="s">
        <v>334</v>
      </c>
      <c r="L462">
        <v>2</v>
      </c>
      <c r="CA462" s="33" t="s">
        <v>809</v>
      </c>
      <c r="CB462" s="33" t="s">
        <v>172</v>
      </c>
      <c r="CC462" s="33" t="s">
        <v>152</v>
      </c>
      <c r="CD462" s="33" t="s">
        <v>118</v>
      </c>
      <c r="CE462" s="33"/>
      <c r="CF462" s="33"/>
      <c r="CG462" s="33"/>
      <c r="CH462" s="33"/>
      <c r="CL462">
        <v>3</v>
      </c>
    </row>
    <row r="463" spans="1:90">
      <c r="A463" t="s">
        <v>719</v>
      </c>
      <c r="B463" t="s">
        <v>151</v>
      </c>
      <c r="C463" t="s">
        <v>149</v>
      </c>
      <c r="D463" t="s">
        <v>118</v>
      </c>
      <c r="E463" t="s">
        <v>167</v>
      </c>
      <c r="I463" t="s">
        <v>186</v>
      </c>
      <c r="J463" t="s">
        <v>168</v>
      </c>
      <c r="K463" t="s">
        <v>192</v>
      </c>
      <c r="L463">
        <v>2</v>
      </c>
      <c r="CA463" s="33" t="s">
        <v>810</v>
      </c>
      <c r="CB463" s="33" t="s">
        <v>172</v>
      </c>
      <c r="CC463" s="33" t="s">
        <v>152</v>
      </c>
      <c r="CD463" s="33" t="s">
        <v>118</v>
      </c>
      <c r="CE463" s="33"/>
      <c r="CF463" s="33"/>
      <c r="CG463" s="33"/>
      <c r="CH463" s="33"/>
      <c r="CL463">
        <v>3</v>
      </c>
    </row>
    <row r="464" spans="1:90">
      <c r="A464" t="s">
        <v>720</v>
      </c>
      <c r="B464" t="s">
        <v>175</v>
      </c>
      <c r="C464" t="s">
        <v>152</v>
      </c>
      <c r="D464" t="s">
        <v>124</v>
      </c>
      <c r="E464" t="s">
        <v>167</v>
      </c>
      <c r="F464" t="s">
        <v>163</v>
      </c>
      <c r="H464" t="s">
        <v>164</v>
      </c>
      <c r="I464" t="s">
        <v>186</v>
      </c>
      <c r="J464" t="s">
        <v>186</v>
      </c>
      <c r="K464" t="s">
        <v>347</v>
      </c>
      <c r="L464">
        <v>2</v>
      </c>
      <c r="CA464" s="33" t="s">
        <v>811</v>
      </c>
      <c r="CB464" s="33" t="s">
        <v>172</v>
      </c>
      <c r="CC464" s="33" t="s">
        <v>149</v>
      </c>
      <c r="CD464" s="33" t="s">
        <v>118</v>
      </c>
      <c r="CE464" s="33"/>
      <c r="CF464" s="33"/>
      <c r="CG464" s="33"/>
      <c r="CH464" s="33"/>
      <c r="CL464">
        <v>3</v>
      </c>
    </row>
    <row r="465" spans="1:90">
      <c r="A465" t="s">
        <v>721</v>
      </c>
      <c r="B465" t="s">
        <v>175</v>
      </c>
      <c r="C465" t="s">
        <v>152</v>
      </c>
      <c r="D465" t="s">
        <v>118</v>
      </c>
      <c r="L465">
        <v>2</v>
      </c>
      <c r="CA465" s="33" t="s">
        <v>812</v>
      </c>
      <c r="CB465" s="33" t="s">
        <v>172</v>
      </c>
      <c r="CC465" s="33" t="s">
        <v>152</v>
      </c>
      <c r="CD465" s="33" t="s">
        <v>124</v>
      </c>
      <c r="CE465" s="33"/>
      <c r="CF465" s="33"/>
      <c r="CG465" s="33"/>
      <c r="CH465" s="33"/>
      <c r="CL465">
        <v>3</v>
      </c>
    </row>
    <row r="466" spans="1:90">
      <c r="A466" t="s">
        <v>722</v>
      </c>
      <c r="B466" t="s">
        <v>175</v>
      </c>
      <c r="C466" t="s">
        <v>152</v>
      </c>
      <c r="D466" t="s">
        <v>124</v>
      </c>
      <c r="L466">
        <v>2</v>
      </c>
      <c r="CA466" s="33" t="s">
        <v>813</v>
      </c>
      <c r="CB466" s="33" t="s">
        <v>172</v>
      </c>
      <c r="CC466" s="33" t="s">
        <v>152</v>
      </c>
      <c r="CD466" s="33" t="s">
        <v>118</v>
      </c>
      <c r="CE466" s="33"/>
      <c r="CF466" s="33"/>
      <c r="CG466" s="33"/>
      <c r="CH466" s="33"/>
      <c r="CL466">
        <v>3</v>
      </c>
    </row>
    <row r="467" spans="1:90">
      <c r="A467" t="s">
        <v>723</v>
      </c>
      <c r="B467" t="s">
        <v>175</v>
      </c>
      <c r="C467" t="s">
        <v>152</v>
      </c>
      <c r="D467" t="s">
        <v>124</v>
      </c>
      <c r="L467">
        <v>2</v>
      </c>
      <c r="CA467" s="33" t="s">
        <v>814</v>
      </c>
      <c r="CB467" s="33" t="s">
        <v>172</v>
      </c>
      <c r="CC467" s="33" t="s">
        <v>149</v>
      </c>
      <c r="CD467" s="33" t="s">
        <v>118</v>
      </c>
      <c r="CE467" s="33"/>
      <c r="CF467" s="33"/>
      <c r="CG467" s="33"/>
      <c r="CH467" s="33"/>
      <c r="CL467">
        <v>3</v>
      </c>
    </row>
    <row r="468" spans="1:90">
      <c r="A468" t="s">
        <v>724</v>
      </c>
      <c r="B468" t="s">
        <v>175</v>
      </c>
      <c r="C468" t="s">
        <v>152</v>
      </c>
      <c r="D468" t="s">
        <v>124</v>
      </c>
      <c r="L468">
        <v>2</v>
      </c>
      <c r="CA468" s="33" t="s">
        <v>815</v>
      </c>
      <c r="CB468" s="33" t="s">
        <v>172</v>
      </c>
      <c r="CC468" s="33" t="s">
        <v>149</v>
      </c>
      <c r="CD468" s="33" t="s">
        <v>118</v>
      </c>
      <c r="CE468" s="33"/>
      <c r="CF468" s="33"/>
      <c r="CG468" s="33"/>
      <c r="CH468" s="33"/>
      <c r="CL468">
        <v>3</v>
      </c>
    </row>
    <row r="469" spans="1:90">
      <c r="A469" t="s">
        <v>725</v>
      </c>
      <c r="B469" t="s">
        <v>175</v>
      </c>
      <c r="C469" t="s">
        <v>152</v>
      </c>
      <c r="D469" t="s">
        <v>118</v>
      </c>
      <c r="L469">
        <v>2</v>
      </c>
      <c r="CA469" s="33" t="s">
        <v>816</v>
      </c>
      <c r="CB469" s="33" t="s">
        <v>172</v>
      </c>
      <c r="CC469" s="33" t="s">
        <v>152</v>
      </c>
      <c r="CD469" s="33" t="s">
        <v>118</v>
      </c>
      <c r="CE469" s="33"/>
      <c r="CF469" s="33"/>
      <c r="CG469" s="33"/>
      <c r="CH469" s="33"/>
      <c r="CL469">
        <v>3</v>
      </c>
    </row>
    <row r="470" spans="1:90">
      <c r="A470" s="33" t="s">
        <v>726</v>
      </c>
      <c r="B470" s="33" t="s">
        <v>172</v>
      </c>
      <c r="C470" s="33" t="s">
        <v>152</v>
      </c>
      <c r="D470" s="33" t="s">
        <v>118</v>
      </c>
      <c r="E470" s="33"/>
      <c r="F470" s="33"/>
      <c r="G470" s="33"/>
      <c r="H470" s="33"/>
      <c r="L470">
        <v>2</v>
      </c>
      <c r="CA470" t="s">
        <v>817</v>
      </c>
      <c r="CB470" t="s">
        <v>279</v>
      </c>
      <c r="CC470" t="s">
        <v>216</v>
      </c>
      <c r="CD470" t="s">
        <v>124</v>
      </c>
      <c r="CL470">
        <v>3</v>
      </c>
    </row>
    <row r="471" spans="1:90">
      <c r="A471" s="33" t="s">
        <v>727</v>
      </c>
      <c r="B471" s="33" t="s">
        <v>172</v>
      </c>
      <c r="C471" s="33" t="s">
        <v>149</v>
      </c>
      <c r="D471" s="33" t="s">
        <v>124</v>
      </c>
      <c r="E471" s="33"/>
      <c r="F471" s="33"/>
      <c r="G471" s="33"/>
      <c r="H471" s="33"/>
      <c r="L471">
        <v>2</v>
      </c>
      <c r="CA471" t="s">
        <v>818</v>
      </c>
      <c r="CB471" t="s">
        <v>279</v>
      </c>
      <c r="CC471" t="s">
        <v>149</v>
      </c>
      <c r="CD471" t="s">
        <v>124</v>
      </c>
      <c r="CL471">
        <v>3</v>
      </c>
    </row>
    <row r="472" spans="1:90">
      <c r="A472" s="33" t="s">
        <v>728</v>
      </c>
      <c r="B472" s="33" t="s">
        <v>172</v>
      </c>
      <c r="C472" s="33" t="s">
        <v>149</v>
      </c>
      <c r="D472" s="33" t="s">
        <v>124</v>
      </c>
      <c r="E472" s="33"/>
      <c r="F472" s="33"/>
      <c r="G472" s="33"/>
      <c r="H472" s="33"/>
      <c r="L472">
        <v>2</v>
      </c>
      <c r="CA472" t="s">
        <v>819</v>
      </c>
      <c r="CB472" t="s">
        <v>279</v>
      </c>
      <c r="CC472" t="s">
        <v>149</v>
      </c>
      <c r="CD472" t="s">
        <v>118</v>
      </c>
      <c r="CL472">
        <v>3</v>
      </c>
    </row>
    <row r="473" spans="1:90">
      <c r="A473" s="33" t="s">
        <v>729</v>
      </c>
      <c r="B473" s="33" t="s">
        <v>172</v>
      </c>
      <c r="C473" s="33" t="s">
        <v>152</v>
      </c>
      <c r="D473" s="33" t="s">
        <v>124</v>
      </c>
      <c r="E473" s="33"/>
      <c r="F473" s="33"/>
      <c r="G473" s="33"/>
      <c r="H473" s="33"/>
      <c r="L473">
        <v>2</v>
      </c>
      <c r="CA473" t="s">
        <v>820</v>
      </c>
      <c r="CB473" t="s">
        <v>279</v>
      </c>
      <c r="CC473" t="s">
        <v>149</v>
      </c>
      <c r="CD473" t="s">
        <v>118</v>
      </c>
      <c r="CL473">
        <v>3</v>
      </c>
    </row>
    <row r="474" spans="1:90">
      <c r="A474" s="33" t="s">
        <v>730</v>
      </c>
      <c r="B474" s="33" t="s">
        <v>172</v>
      </c>
      <c r="C474" s="33" t="s">
        <v>149</v>
      </c>
      <c r="D474" s="33" t="s">
        <v>118</v>
      </c>
      <c r="E474" s="33"/>
      <c r="F474" s="33"/>
      <c r="G474" s="33"/>
      <c r="H474" s="33"/>
      <c r="L474">
        <v>2</v>
      </c>
      <c r="CA474" t="s">
        <v>821</v>
      </c>
      <c r="CB474" t="s">
        <v>279</v>
      </c>
      <c r="CC474" t="s">
        <v>149</v>
      </c>
      <c r="CD474" t="s">
        <v>118</v>
      </c>
      <c r="CL474">
        <v>3</v>
      </c>
    </row>
    <row r="475" spans="1:90">
      <c r="A475" s="33" t="s">
        <v>731</v>
      </c>
      <c r="B475" s="33" t="s">
        <v>172</v>
      </c>
      <c r="C475" s="33" t="s">
        <v>149</v>
      </c>
      <c r="D475" s="33" t="s">
        <v>118</v>
      </c>
      <c r="E475" s="33"/>
      <c r="F475" s="33"/>
      <c r="G475" s="33"/>
      <c r="H475" s="33"/>
      <c r="L475">
        <v>2</v>
      </c>
      <c r="CA475" t="s">
        <v>822</v>
      </c>
      <c r="CB475" t="s">
        <v>279</v>
      </c>
      <c r="CC475" t="s">
        <v>149</v>
      </c>
      <c r="CD475" t="s">
        <v>118</v>
      </c>
      <c r="CL475">
        <v>3</v>
      </c>
    </row>
    <row r="476" spans="1:90">
      <c r="A476" s="33" t="s">
        <v>732</v>
      </c>
      <c r="B476" s="33" t="s">
        <v>172</v>
      </c>
      <c r="C476" s="33" t="s">
        <v>152</v>
      </c>
      <c r="D476" s="33" t="s">
        <v>132</v>
      </c>
      <c r="E476" s="33"/>
      <c r="F476" s="33"/>
      <c r="G476" s="33"/>
      <c r="H476" s="33"/>
      <c r="L476">
        <v>2</v>
      </c>
      <c r="CA476" t="s">
        <v>823</v>
      </c>
      <c r="CB476" t="s">
        <v>175</v>
      </c>
      <c r="CC476" t="s">
        <v>152</v>
      </c>
      <c r="CD476" t="s">
        <v>118</v>
      </c>
      <c r="CL476">
        <v>3</v>
      </c>
    </row>
    <row r="477" spans="1:90">
      <c r="A477" s="33" t="s">
        <v>733</v>
      </c>
      <c r="B477" s="33" t="s">
        <v>172</v>
      </c>
      <c r="C477" s="33" t="s">
        <v>152</v>
      </c>
      <c r="D477" s="33" t="s">
        <v>124</v>
      </c>
      <c r="E477" s="33"/>
      <c r="F477" s="33"/>
      <c r="G477" s="33"/>
      <c r="H477" s="33"/>
      <c r="L477">
        <v>2</v>
      </c>
      <c r="CA477" t="s">
        <v>824</v>
      </c>
      <c r="CB477" t="s">
        <v>175</v>
      </c>
      <c r="CC477" t="s">
        <v>152</v>
      </c>
      <c r="CD477" t="s">
        <v>124</v>
      </c>
      <c r="CL477">
        <v>3</v>
      </c>
    </row>
    <row r="478" spans="1:90">
      <c r="A478" s="33" t="s">
        <v>734</v>
      </c>
      <c r="B478" s="33" t="s">
        <v>172</v>
      </c>
      <c r="C478" s="33" t="s">
        <v>152</v>
      </c>
      <c r="D478" s="33" t="s">
        <v>118</v>
      </c>
      <c r="E478" s="33"/>
      <c r="F478" s="33"/>
      <c r="G478" s="33"/>
      <c r="H478" s="33"/>
      <c r="L478">
        <v>2</v>
      </c>
      <c r="CA478" t="s">
        <v>825</v>
      </c>
      <c r="CB478" t="s">
        <v>175</v>
      </c>
      <c r="CC478" t="s">
        <v>152</v>
      </c>
      <c r="CD478" t="s">
        <v>124</v>
      </c>
      <c r="CL478">
        <v>3</v>
      </c>
    </row>
    <row r="479" spans="1:90">
      <c r="A479" s="33" t="s">
        <v>735</v>
      </c>
      <c r="B479" s="33" t="s">
        <v>172</v>
      </c>
      <c r="C479" s="33" t="s">
        <v>149</v>
      </c>
      <c r="D479" s="33" t="s">
        <v>132</v>
      </c>
      <c r="E479" s="33"/>
      <c r="F479" s="33"/>
      <c r="G479" s="33"/>
      <c r="H479" s="33"/>
      <c r="L479">
        <v>2</v>
      </c>
      <c r="CA479" t="s">
        <v>826</v>
      </c>
      <c r="CB479" t="s">
        <v>175</v>
      </c>
      <c r="CC479" t="s">
        <v>152</v>
      </c>
      <c r="CD479" t="s">
        <v>132</v>
      </c>
      <c r="CL479">
        <v>3</v>
      </c>
    </row>
    <row r="480" spans="1:90">
      <c r="A480" t="s">
        <v>736</v>
      </c>
      <c r="B480" t="s">
        <v>279</v>
      </c>
      <c r="C480" t="s">
        <v>152</v>
      </c>
      <c r="D480" t="s">
        <v>118</v>
      </c>
      <c r="L480">
        <v>2</v>
      </c>
      <c r="CA480" t="s">
        <v>827</v>
      </c>
      <c r="CB480" t="s">
        <v>175</v>
      </c>
      <c r="CC480" t="s">
        <v>149</v>
      </c>
      <c r="CD480" t="s">
        <v>124</v>
      </c>
      <c r="CL480">
        <v>3</v>
      </c>
    </row>
    <row r="481" spans="1:90">
      <c r="A481" t="s">
        <v>737</v>
      </c>
      <c r="B481" t="s">
        <v>279</v>
      </c>
      <c r="C481" t="s">
        <v>149</v>
      </c>
      <c r="D481" t="s">
        <v>118</v>
      </c>
      <c r="L481">
        <v>2</v>
      </c>
      <c r="CA481" s="33" t="s">
        <v>828</v>
      </c>
      <c r="CB481" s="33" t="s">
        <v>172</v>
      </c>
      <c r="CC481" s="33" t="s">
        <v>149</v>
      </c>
      <c r="CD481" s="33" t="s">
        <v>124</v>
      </c>
      <c r="CE481" s="33"/>
      <c r="CF481" s="33"/>
      <c r="CG481" s="33"/>
      <c r="CH481" s="33"/>
      <c r="CL481">
        <v>3</v>
      </c>
    </row>
    <row r="482" spans="1:90">
      <c r="A482" t="s">
        <v>738</v>
      </c>
      <c r="B482" t="s">
        <v>279</v>
      </c>
      <c r="C482" t="s">
        <v>149</v>
      </c>
      <c r="D482" t="s">
        <v>118</v>
      </c>
      <c r="L482">
        <v>2</v>
      </c>
      <c r="CA482" s="33" t="s">
        <v>829</v>
      </c>
      <c r="CB482" s="33" t="s">
        <v>172</v>
      </c>
      <c r="CC482" s="33" t="s">
        <v>149</v>
      </c>
      <c r="CD482" s="33" t="s">
        <v>124</v>
      </c>
      <c r="CE482" s="33"/>
      <c r="CF482" s="33"/>
      <c r="CG482" s="33"/>
      <c r="CH482" s="33"/>
      <c r="CL482">
        <v>3</v>
      </c>
    </row>
    <row r="483" spans="1:90">
      <c r="A483" t="s">
        <v>739</v>
      </c>
      <c r="B483" t="s">
        <v>279</v>
      </c>
      <c r="C483" t="s">
        <v>149</v>
      </c>
      <c r="D483" t="s">
        <v>124</v>
      </c>
      <c r="L483">
        <v>2</v>
      </c>
      <c r="CA483" t="s">
        <v>830</v>
      </c>
      <c r="CB483" t="s">
        <v>175</v>
      </c>
      <c r="CC483" t="s">
        <v>152</v>
      </c>
      <c r="CD483" t="s">
        <v>143</v>
      </c>
      <c r="CL483">
        <v>3</v>
      </c>
    </row>
    <row r="484" spans="1:90">
      <c r="A484" t="s">
        <v>740</v>
      </c>
      <c r="B484" t="s">
        <v>279</v>
      </c>
      <c r="C484" t="s">
        <v>152</v>
      </c>
      <c r="D484" t="s">
        <v>118</v>
      </c>
      <c r="L484">
        <v>2</v>
      </c>
      <c r="CA484" t="s">
        <v>831</v>
      </c>
      <c r="CB484" t="s">
        <v>116</v>
      </c>
      <c r="CC484" t="s">
        <v>120</v>
      </c>
      <c r="CD484" t="s">
        <v>118</v>
      </c>
      <c r="CL484">
        <v>3</v>
      </c>
    </row>
    <row r="485" spans="1:90">
      <c r="A485" t="s">
        <v>741</v>
      </c>
      <c r="B485" t="s">
        <v>279</v>
      </c>
      <c r="C485" t="s">
        <v>216</v>
      </c>
      <c r="D485" t="s">
        <v>118</v>
      </c>
      <c r="L485">
        <v>2</v>
      </c>
      <c r="CA485" t="s">
        <v>832</v>
      </c>
      <c r="CB485" t="s">
        <v>116</v>
      </c>
      <c r="CC485" t="s">
        <v>117</v>
      </c>
      <c r="CD485" t="s">
        <v>118</v>
      </c>
      <c r="CL485">
        <v>3</v>
      </c>
    </row>
    <row r="486" spans="1:90">
      <c r="A486" t="s">
        <v>742</v>
      </c>
      <c r="B486" t="s">
        <v>279</v>
      </c>
      <c r="C486" t="s">
        <v>152</v>
      </c>
      <c r="D486" t="s">
        <v>118</v>
      </c>
      <c r="L486">
        <v>2</v>
      </c>
      <c r="CA486" t="s">
        <v>833</v>
      </c>
      <c r="CB486" t="s">
        <v>116</v>
      </c>
      <c r="CC486" t="s">
        <v>117</v>
      </c>
      <c r="CD486" t="s">
        <v>118</v>
      </c>
      <c r="CL486">
        <v>3</v>
      </c>
    </row>
    <row r="487" spans="1:90">
      <c r="A487" t="s">
        <v>743</v>
      </c>
      <c r="B487" t="s">
        <v>215</v>
      </c>
      <c r="C487" t="s">
        <v>149</v>
      </c>
      <c r="D487" t="s">
        <v>124</v>
      </c>
      <c r="L487">
        <v>2</v>
      </c>
      <c r="CA487" t="s">
        <v>834</v>
      </c>
      <c r="CB487" t="s">
        <v>116</v>
      </c>
      <c r="CC487" t="s">
        <v>117</v>
      </c>
      <c r="CD487" t="s">
        <v>118</v>
      </c>
      <c r="CL487">
        <v>3</v>
      </c>
    </row>
    <row r="488" spans="1:90">
      <c r="A488" t="s">
        <v>744</v>
      </c>
      <c r="B488" t="s">
        <v>215</v>
      </c>
      <c r="C488" t="s">
        <v>149</v>
      </c>
      <c r="D488" t="s">
        <v>124</v>
      </c>
      <c r="F488" t="s">
        <v>745</v>
      </c>
      <c r="H488" t="s">
        <v>164</v>
      </c>
      <c r="L488">
        <v>2</v>
      </c>
      <c r="CA488" t="s">
        <v>835</v>
      </c>
      <c r="CB488" t="s">
        <v>116</v>
      </c>
      <c r="CC488" t="s">
        <v>120</v>
      </c>
      <c r="CD488" t="s">
        <v>118</v>
      </c>
      <c r="CL488">
        <v>3</v>
      </c>
    </row>
    <row r="489" spans="1:90">
      <c r="A489" t="s">
        <v>746</v>
      </c>
      <c r="B489" t="s">
        <v>215</v>
      </c>
      <c r="C489" t="s">
        <v>149</v>
      </c>
      <c r="D489" t="s">
        <v>118</v>
      </c>
      <c r="L489">
        <v>2</v>
      </c>
      <c r="CA489" t="s">
        <v>836</v>
      </c>
      <c r="CB489" t="s">
        <v>116</v>
      </c>
      <c r="CC489" t="s">
        <v>149</v>
      </c>
      <c r="CD489" t="s">
        <v>118</v>
      </c>
      <c r="CF489" t="s">
        <v>370</v>
      </c>
      <c r="CH489" t="s">
        <v>164</v>
      </c>
      <c r="CL489">
        <v>3</v>
      </c>
    </row>
    <row r="490" spans="1:90">
      <c r="A490" t="s">
        <v>747</v>
      </c>
      <c r="B490" t="s">
        <v>175</v>
      </c>
      <c r="C490" t="s">
        <v>152</v>
      </c>
      <c r="D490" t="s">
        <v>118</v>
      </c>
      <c r="L490">
        <v>2</v>
      </c>
      <c r="CA490" t="s">
        <v>837</v>
      </c>
      <c r="CB490" t="s">
        <v>116</v>
      </c>
      <c r="CC490" t="s">
        <v>149</v>
      </c>
      <c r="CD490" t="s">
        <v>118</v>
      </c>
      <c r="CF490" t="s">
        <v>370</v>
      </c>
      <c r="CH490" t="s">
        <v>164</v>
      </c>
      <c r="CL490">
        <v>3</v>
      </c>
    </row>
    <row r="491" spans="1:90">
      <c r="A491" t="s">
        <v>748</v>
      </c>
      <c r="B491" t="s">
        <v>175</v>
      </c>
      <c r="C491" t="s">
        <v>152</v>
      </c>
      <c r="D491" t="s">
        <v>124</v>
      </c>
      <c r="L491">
        <v>2</v>
      </c>
      <c r="CA491" t="s">
        <v>838</v>
      </c>
      <c r="CB491" t="s">
        <v>116</v>
      </c>
      <c r="CC491" t="s">
        <v>149</v>
      </c>
      <c r="CD491" t="s">
        <v>118</v>
      </c>
      <c r="CL491">
        <v>3</v>
      </c>
    </row>
    <row r="492" spans="1:90">
      <c r="A492" t="s">
        <v>749</v>
      </c>
      <c r="B492" t="s">
        <v>175</v>
      </c>
      <c r="C492" t="s">
        <v>152</v>
      </c>
      <c r="D492" t="s">
        <v>118</v>
      </c>
      <c r="L492">
        <v>2</v>
      </c>
      <c r="CA492" t="s">
        <v>839</v>
      </c>
      <c r="CB492" t="s">
        <v>151</v>
      </c>
      <c r="CC492" t="s">
        <v>152</v>
      </c>
      <c r="CD492" t="s">
        <v>118</v>
      </c>
      <c r="CE492" t="s">
        <v>167</v>
      </c>
      <c r="CF492" t="s">
        <v>163</v>
      </c>
      <c r="CH492" t="s">
        <v>164</v>
      </c>
      <c r="CJ492" t="s">
        <v>221</v>
      </c>
      <c r="CK492" t="s">
        <v>840</v>
      </c>
      <c r="CL492">
        <v>3</v>
      </c>
    </row>
    <row r="493" spans="1:90">
      <c r="A493" t="s">
        <v>750</v>
      </c>
      <c r="B493" t="s">
        <v>116</v>
      </c>
      <c r="C493" t="s">
        <v>751</v>
      </c>
      <c r="D493" t="s">
        <v>118</v>
      </c>
      <c r="F493" t="s">
        <v>273</v>
      </c>
      <c r="H493" t="s">
        <v>164</v>
      </c>
      <c r="L493">
        <v>2</v>
      </c>
      <c r="CA493" t="s">
        <v>843</v>
      </c>
      <c r="CB493" t="s">
        <v>162</v>
      </c>
      <c r="CC493" t="s">
        <v>152</v>
      </c>
      <c r="CD493" t="s">
        <v>124</v>
      </c>
      <c r="CF493" t="s">
        <v>163</v>
      </c>
      <c r="CH493" t="s">
        <v>164</v>
      </c>
      <c r="CL493">
        <v>3</v>
      </c>
    </row>
    <row r="494" spans="1:90">
      <c r="A494" t="s">
        <v>752</v>
      </c>
      <c r="B494" t="s">
        <v>151</v>
      </c>
      <c r="C494" t="s">
        <v>149</v>
      </c>
      <c r="D494" t="s">
        <v>118</v>
      </c>
      <c r="L494">
        <v>2</v>
      </c>
      <c r="CA494" t="s">
        <v>845</v>
      </c>
      <c r="CB494" t="s">
        <v>175</v>
      </c>
      <c r="CC494" t="s">
        <v>152</v>
      </c>
      <c r="CD494" t="s">
        <v>124</v>
      </c>
      <c r="CL494">
        <v>3</v>
      </c>
    </row>
    <row r="495" spans="1:90">
      <c r="A495" t="s">
        <v>753</v>
      </c>
      <c r="B495" t="s">
        <v>160</v>
      </c>
      <c r="C495" t="s">
        <v>135</v>
      </c>
      <c r="D495" t="s">
        <v>118</v>
      </c>
      <c r="L495">
        <v>2</v>
      </c>
      <c r="CA495" t="s">
        <v>846</v>
      </c>
      <c r="CB495" t="s">
        <v>175</v>
      </c>
      <c r="CC495" t="s">
        <v>152</v>
      </c>
      <c r="CD495" t="s">
        <v>132</v>
      </c>
      <c r="CL495">
        <v>3</v>
      </c>
    </row>
    <row r="496" spans="1:90">
      <c r="A496" t="s">
        <v>754</v>
      </c>
      <c r="B496" t="s">
        <v>151</v>
      </c>
      <c r="C496" t="s">
        <v>152</v>
      </c>
      <c r="D496" t="s">
        <v>118</v>
      </c>
      <c r="F496" t="s">
        <v>163</v>
      </c>
      <c r="H496" t="s">
        <v>164</v>
      </c>
      <c r="L496">
        <v>2</v>
      </c>
      <c r="CA496" t="s">
        <v>847</v>
      </c>
      <c r="CB496" t="s">
        <v>175</v>
      </c>
      <c r="CC496" t="s">
        <v>152</v>
      </c>
      <c r="CD496" t="s">
        <v>124</v>
      </c>
      <c r="CF496" t="s">
        <v>163</v>
      </c>
      <c r="CG496" t="s">
        <v>273</v>
      </c>
      <c r="CH496" t="s">
        <v>164</v>
      </c>
      <c r="CL496">
        <v>3</v>
      </c>
    </row>
    <row r="497" spans="1:90">
      <c r="A497" t="s">
        <v>755</v>
      </c>
      <c r="B497" t="s">
        <v>175</v>
      </c>
      <c r="C497" t="s">
        <v>149</v>
      </c>
      <c r="D497" t="s">
        <v>118</v>
      </c>
      <c r="L497">
        <v>2</v>
      </c>
      <c r="CA497" t="s">
        <v>848</v>
      </c>
      <c r="CB497" t="s">
        <v>175</v>
      </c>
      <c r="CC497" t="s">
        <v>149</v>
      </c>
      <c r="CD497" t="s">
        <v>118</v>
      </c>
      <c r="CL497">
        <v>3</v>
      </c>
    </row>
    <row r="498" spans="1:90">
      <c r="A498" t="s">
        <v>756</v>
      </c>
      <c r="B498" t="s">
        <v>279</v>
      </c>
      <c r="C498" t="s">
        <v>149</v>
      </c>
      <c r="D498" t="s">
        <v>118</v>
      </c>
      <c r="L498">
        <v>2</v>
      </c>
      <c r="CA498" t="s">
        <v>849</v>
      </c>
      <c r="CB498" t="s">
        <v>175</v>
      </c>
      <c r="CC498" t="s">
        <v>277</v>
      </c>
      <c r="CD498" t="s">
        <v>132</v>
      </c>
      <c r="CE498" t="s">
        <v>167</v>
      </c>
      <c r="CI498" t="s">
        <v>186</v>
      </c>
      <c r="CJ498" t="s">
        <v>186</v>
      </c>
      <c r="CK498" t="s">
        <v>850</v>
      </c>
      <c r="CL498">
        <v>3</v>
      </c>
    </row>
    <row r="499" spans="1:90">
      <c r="A499" t="s">
        <v>757</v>
      </c>
      <c r="B499" t="s">
        <v>151</v>
      </c>
      <c r="C499" t="s">
        <v>149</v>
      </c>
      <c r="D499" t="s">
        <v>124</v>
      </c>
      <c r="E499" t="s">
        <v>153</v>
      </c>
      <c r="I499" t="s">
        <v>186</v>
      </c>
      <c r="J499" t="s">
        <v>156</v>
      </c>
      <c r="K499" t="s">
        <v>207</v>
      </c>
      <c r="L499">
        <v>2</v>
      </c>
      <c r="CA499" t="s">
        <v>851</v>
      </c>
      <c r="CB499" t="s">
        <v>175</v>
      </c>
      <c r="CC499" t="s">
        <v>852</v>
      </c>
      <c r="CD499" t="s">
        <v>118</v>
      </c>
      <c r="CL499">
        <v>3</v>
      </c>
    </row>
    <row r="500" spans="1:90">
      <c r="A500" t="s">
        <v>758</v>
      </c>
      <c r="B500" t="s">
        <v>151</v>
      </c>
      <c r="C500" t="s">
        <v>149</v>
      </c>
      <c r="D500" t="s">
        <v>124</v>
      </c>
      <c r="E500" t="s">
        <v>210</v>
      </c>
      <c r="I500" t="s">
        <v>186</v>
      </c>
      <c r="J500" t="s">
        <v>156</v>
      </c>
      <c r="K500" t="s">
        <v>531</v>
      </c>
      <c r="L500">
        <v>2</v>
      </c>
      <c r="CA500" s="33" t="s">
        <v>853</v>
      </c>
      <c r="CB500" s="33" t="s">
        <v>172</v>
      </c>
      <c r="CC500" s="33" t="s">
        <v>149</v>
      </c>
      <c r="CD500" s="33" t="s">
        <v>132</v>
      </c>
      <c r="CE500" s="33" t="s">
        <v>167</v>
      </c>
      <c r="CF500" s="33" t="s">
        <v>370</v>
      </c>
      <c r="CG500" s="33"/>
      <c r="CH500" s="33" t="s">
        <v>164</v>
      </c>
      <c r="CI500" t="s">
        <v>168</v>
      </c>
      <c r="CJ500" t="s">
        <v>168</v>
      </c>
      <c r="CK500" t="s">
        <v>854</v>
      </c>
      <c r="CL500">
        <v>3</v>
      </c>
    </row>
    <row r="501" spans="1:90">
      <c r="A501" t="s">
        <v>759</v>
      </c>
      <c r="B501" t="s">
        <v>215</v>
      </c>
      <c r="C501" t="s">
        <v>149</v>
      </c>
      <c r="D501" t="s">
        <v>124</v>
      </c>
      <c r="L501">
        <v>2</v>
      </c>
      <c r="CA501" s="33" t="s">
        <v>855</v>
      </c>
      <c r="CB501" s="33" t="s">
        <v>172</v>
      </c>
      <c r="CC501" s="33" t="s">
        <v>152</v>
      </c>
      <c r="CD501" s="33" t="s">
        <v>124</v>
      </c>
      <c r="CE501" s="33"/>
      <c r="CF501" s="33"/>
      <c r="CG501" s="33"/>
      <c r="CH501" s="33"/>
      <c r="CL501">
        <v>3</v>
      </c>
    </row>
    <row r="502" spans="1:90">
      <c r="A502" t="s">
        <v>760</v>
      </c>
      <c r="B502" t="s">
        <v>116</v>
      </c>
      <c r="C502" t="s">
        <v>149</v>
      </c>
      <c r="D502" t="s">
        <v>118</v>
      </c>
      <c r="F502" t="s">
        <v>370</v>
      </c>
      <c r="H502" t="s">
        <v>164</v>
      </c>
      <c r="L502">
        <v>3</v>
      </c>
      <c r="CA502" s="33" t="s">
        <v>856</v>
      </c>
      <c r="CB502" s="33" t="s">
        <v>172</v>
      </c>
      <c r="CC502" s="33" t="s">
        <v>149</v>
      </c>
      <c r="CD502" s="33" t="s">
        <v>124</v>
      </c>
      <c r="CE502" s="33"/>
      <c r="CF502" s="33"/>
      <c r="CG502" s="33"/>
      <c r="CH502" s="33"/>
      <c r="CL502">
        <v>3</v>
      </c>
    </row>
    <row r="503" spans="1:90">
      <c r="A503" t="s">
        <v>761</v>
      </c>
      <c r="B503" t="s">
        <v>151</v>
      </c>
      <c r="C503" t="s">
        <v>149</v>
      </c>
      <c r="D503" t="s">
        <v>118</v>
      </c>
      <c r="L503">
        <v>3</v>
      </c>
      <c r="CA503" t="s">
        <v>857</v>
      </c>
      <c r="CB503" t="s">
        <v>279</v>
      </c>
      <c r="CC503" t="s">
        <v>152</v>
      </c>
      <c r="CD503" t="s">
        <v>124</v>
      </c>
      <c r="CL503">
        <v>3</v>
      </c>
    </row>
    <row r="504" spans="1:90">
      <c r="A504" t="s">
        <v>762</v>
      </c>
      <c r="B504" t="s">
        <v>151</v>
      </c>
      <c r="C504" t="s">
        <v>152</v>
      </c>
      <c r="D504" t="s">
        <v>118</v>
      </c>
      <c r="J504" t="s">
        <v>168</v>
      </c>
      <c r="K504" t="s">
        <v>763</v>
      </c>
      <c r="L504">
        <v>3</v>
      </c>
      <c r="CA504" t="s">
        <v>858</v>
      </c>
      <c r="CB504" t="s">
        <v>279</v>
      </c>
      <c r="CC504" t="s">
        <v>152</v>
      </c>
      <c r="CD504" t="s">
        <v>124</v>
      </c>
      <c r="CL504">
        <v>3</v>
      </c>
    </row>
    <row r="505" spans="1:90">
      <c r="A505" t="s">
        <v>764</v>
      </c>
      <c r="B505" t="s">
        <v>151</v>
      </c>
      <c r="C505" t="s">
        <v>152</v>
      </c>
      <c r="D505" t="s">
        <v>118</v>
      </c>
      <c r="E505" t="s">
        <v>167</v>
      </c>
      <c r="I505" t="s">
        <v>168</v>
      </c>
      <c r="J505" t="s">
        <v>168</v>
      </c>
      <c r="K505" t="s">
        <v>765</v>
      </c>
      <c r="L505">
        <v>3</v>
      </c>
      <c r="CA505" t="s">
        <v>859</v>
      </c>
      <c r="CB505" t="s">
        <v>279</v>
      </c>
      <c r="CC505" t="s">
        <v>149</v>
      </c>
      <c r="CD505" t="s">
        <v>124</v>
      </c>
      <c r="CL505">
        <v>3</v>
      </c>
    </row>
    <row r="506" spans="1:90">
      <c r="A506" t="s">
        <v>766</v>
      </c>
      <c r="B506" t="s">
        <v>162</v>
      </c>
      <c r="C506" t="s">
        <v>152</v>
      </c>
      <c r="D506" t="s">
        <v>118</v>
      </c>
      <c r="L506">
        <v>3</v>
      </c>
      <c r="CA506" t="s">
        <v>860</v>
      </c>
      <c r="CB506" t="s">
        <v>279</v>
      </c>
      <c r="CC506" t="s">
        <v>152</v>
      </c>
      <c r="CD506" t="s">
        <v>118</v>
      </c>
      <c r="CL506">
        <v>3</v>
      </c>
    </row>
    <row r="507" spans="1:90">
      <c r="A507" t="s">
        <v>767</v>
      </c>
      <c r="B507" t="s">
        <v>162</v>
      </c>
      <c r="C507" t="s">
        <v>149</v>
      </c>
      <c r="D507" t="s">
        <v>118</v>
      </c>
      <c r="L507">
        <v>3</v>
      </c>
      <c r="CA507" t="s">
        <v>861</v>
      </c>
      <c r="CB507" t="s">
        <v>279</v>
      </c>
      <c r="CC507" t="s">
        <v>149</v>
      </c>
      <c r="CD507" t="s">
        <v>124</v>
      </c>
      <c r="CL507">
        <v>3</v>
      </c>
    </row>
    <row r="508" spans="1:90">
      <c r="A508" t="s">
        <v>768</v>
      </c>
      <c r="B508" t="s">
        <v>151</v>
      </c>
      <c r="C508" t="s">
        <v>152</v>
      </c>
      <c r="D508" t="s">
        <v>124</v>
      </c>
      <c r="E508" t="s">
        <v>167</v>
      </c>
      <c r="F508" t="s">
        <v>163</v>
      </c>
      <c r="H508" t="s">
        <v>164</v>
      </c>
      <c r="I508" t="s">
        <v>168</v>
      </c>
      <c r="J508" t="s">
        <v>168</v>
      </c>
      <c r="K508" t="s">
        <v>769</v>
      </c>
      <c r="L508">
        <v>3</v>
      </c>
      <c r="CA508" t="s">
        <v>862</v>
      </c>
      <c r="CB508" t="s">
        <v>279</v>
      </c>
      <c r="CC508" t="s">
        <v>149</v>
      </c>
      <c r="CD508" t="s">
        <v>118</v>
      </c>
      <c r="CL508">
        <v>3</v>
      </c>
    </row>
    <row r="509" spans="1:90">
      <c r="A509" t="s">
        <v>770</v>
      </c>
      <c r="B509" t="s">
        <v>151</v>
      </c>
      <c r="C509" t="s">
        <v>152</v>
      </c>
      <c r="D509" t="s">
        <v>118</v>
      </c>
      <c r="L509">
        <v>3</v>
      </c>
      <c r="CA509" t="s">
        <v>863</v>
      </c>
      <c r="CB509" t="s">
        <v>215</v>
      </c>
      <c r="CC509" t="s">
        <v>149</v>
      </c>
      <c r="CD509" t="s">
        <v>124</v>
      </c>
      <c r="CL509">
        <v>3</v>
      </c>
    </row>
    <row r="510" spans="1:90">
      <c r="A510" t="s">
        <v>771</v>
      </c>
      <c r="B510" t="s">
        <v>175</v>
      </c>
      <c r="C510" t="s">
        <v>152</v>
      </c>
      <c r="D510" t="s">
        <v>118</v>
      </c>
      <c r="L510">
        <v>3</v>
      </c>
      <c r="CA510" t="s">
        <v>864</v>
      </c>
      <c r="CB510" t="s">
        <v>215</v>
      </c>
      <c r="CC510" t="s">
        <v>216</v>
      </c>
      <c r="CD510" t="s">
        <v>124</v>
      </c>
      <c r="CL510">
        <v>3</v>
      </c>
    </row>
    <row r="511" spans="1:90">
      <c r="A511" t="s">
        <v>772</v>
      </c>
      <c r="B511" t="s">
        <v>175</v>
      </c>
      <c r="C511" t="s">
        <v>149</v>
      </c>
      <c r="D511" t="s">
        <v>118</v>
      </c>
      <c r="L511">
        <v>3</v>
      </c>
      <c r="CA511" t="s">
        <v>865</v>
      </c>
      <c r="CB511" t="s">
        <v>175</v>
      </c>
      <c r="CC511" t="s">
        <v>149</v>
      </c>
      <c r="CD511" t="s">
        <v>124</v>
      </c>
      <c r="CL511">
        <v>3</v>
      </c>
    </row>
    <row r="512" spans="1:90">
      <c r="A512" s="33" t="s">
        <v>773</v>
      </c>
      <c r="B512" s="33" t="s">
        <v>172</v>
      </c>
      <c r="C512" s="33" t="s">
        <v>152</v>
      </c>
      <c r="D512" s="33" t="s">
        <v>124</v>
      </c>
      <c r="E512" s="33"/>
      <c r="F512" s="33"/>
      <c r="G512" s="33"/>
      <c r="H512" s="33"/>
      <c r="L512">
        <v>3</v>
      </c>
      <c r="CA512" t="s">
        <v>866</v>
      </c>
      <c r="CB512" t="s">
        <v>175</v>
      </c>
      <c r="CC512" t="s">
        <v>149</v>
      </c>
      <c r="CD512" t="s">
        <v>124</v>
      </c>
      <c r="CL512">
        <v>3</v>
      </c>
    </row>
    <row r="513" spans="1:90">
      <c r="A513" s="33" t="s">
        <v>774</v>
      </c>
      <c r="B513" s="33" t="s">
        <v>172</v>
      </c>
      <c r="C513" s="33" t="s">
        <v>152</v>
      </c>
      <c r="D513" s="33" t="s">
        <v>118</v>
      </c>
      <c r="E513" s="33"/>
      <c r="F513" s="33"/>
      <c r="G513" s="33"/>
      <c r="H513" s="33"/>
      <c r="L513">
        <v>3</v>
      </c>
      <c r="CA513" s="33" t="s">
        <v>871</v>
      </c>
      <c r="CB513" s="33" t="s">
        <v>172</v>
      </c>
      <c r="CC513" s="33" t="s">
        <v>149</v>
      </c>
      <c r="CD513" s="33" t="s">
        <v>132</v>
      </c>
      <c r="CE513" s="33"/>
      <c r="CF513" s="33"/>
      <c r="CG513" s="33"/>
      <c r="CH513" s="33"/>
      <c r="CL513">
        <v>3</v>
      </c>
    </row>
    <row r="514" spans="1:90">
      <c r="A514" s="33" t="s">
        <v>775</v>
      </c>
      <c r="B514" s="33" t="s">
        <v>172</v>
      </c>
      <c r="C514" s="33" t="s">
        <v>152</v>
      </c>
      <c r="D514" s="33" t="s">
        <v>124</v>
      </c>
      <c r="E514" s="33"/>
      <c r="F514" s="33"/>
      <c r="G514" s="33"/>
      <c r="H514" s="33"/>
      <c r="L514">
        <v>3</v>
      </c>
      <c r="CA514" t="s">
        <v>872</v>
      </c>
      <c r="CB514" t="s">
        <v>175</v>
      </c>
      <c r="CC514" t="s">
        <v>149</v>
      </c>
      <c r="CD514" t="s">
        <v>132</v>
      </c>
      <c r="CL514">
        <v>3</v>
      </c>
    </row>
    <row r="515" spans="1:90">
      <c r="A515" s="33" t="s">
        <v>776</v>
      </c>
      <c r="B515" s="33" t="s">
        <v>172</v>
      </c>
      <c r="C515" s="33" t="s">
        <v>152</v>
      </c>
      <c r="D515" s="33" t="s">
        <v>124</v>
      </c>
      <c r="E515" s="33"/>
      <c r="F515" s="33"/>
      <c r="G515" s="33"/>
      <c r="H515" s="33"/>
      <c r="L515">
        <v>3</v>
      </c>
      <c r="CA515" t="s">
        <v>873</v>
      </c>
      <c r="CB515" t="s">
        <v>116</v>
      </c>
      <c r="CC515" t="s">
        <v>152</v>
      </c>
      <c r="CD515" t="s">
        <v>118</v>
      </c>
      <c r="CF515" t="s">
        <v>370</v>
      </c>
      <c r="CH515" t="s">
        <v>164</v>
      </c>
      <c r="CL515">
        <v>3</v>
      </c>
    </row>
    <row r="516" spans="1:90">
      <c r="A516" s="33" t="s">
        <v>777</v>
      </c>
      <c r="B516" s="33" t="s">
        <v>172</v>
      </c>
      <c r="C516" s="33" t="s">
        <v>152</v>
      </c>
      <c r="D516" s="33" t="s">
        <v>124</v>
      </c>
      <c r="E516" s="33"/>
      <c r="F516" s="33"/>
      <c r="G516" s="33"/>
      <c r="H516" s="33"/>
      <c r="L516">
        <v>3</v>
      </c>
      <c r="CA516" t="s">
        <v>874</v>
      </c>
      <c r="CB516" t="s">
        <v>116</v>
      </c>
      <c r="CC516" t="s">
        <v>149</v>
      </c>
      <c r="CD516" t="s">
        <v>118</v>
      </c>
      <c r="CF516" t="s">
        <v>370</v>
      </c>
      <c r="CH516" t="s">
        <v>164</v>
      </c>
      <c r="CL516">
        <v>3</v>
      </c>
    </row>
    <row r="517" spans="1:90">
      <c r="A517" s="33" t="s">
        <v>778</v>
      </c>
      <c r="B517" s="33" t="s">
        <v>172</v>
      </c>
      <c r="C517" s="33" t="s">
        <v>149</v>
      </c>
      <c r="D517" s="33" t="s">
        <v>124</v>
      </c>
      <c r="E517" s="33"/>
      <c r="F517" s="33"/>
      <c r="G517" s="33"/>
      <c r="H517" s="33"/>
      <c r="L517">
        <v>3</v>
      </c>
      <c r="CA517" t="s">
        <v>875</v>
      </c>
      <c r="CB517" t="s">
        <v>116</v>
      </c>
      <c r="CC517" t="s">
        <v>152</v>
      </c>
      <c r="CD517" t="s">
        <v>118</v>
      </c>
      <c r="CF517" t="s">
        <v>370</v>
      </c>
      <c r="CH517" t="s">
        <v>164</v>
      </c>
      <c r="CL517">
        <v>3</v>
      </c>
    </row>
    <row r="518" spans="1:90">
      <c r="A518" s="33" t="s">
        <v>779</v>
      </c>
      <c r="B518" s="33" t="s">
        <v>172</v>
      </c>
      <c r="C518" s="33" t="s">
        <v>152</v>
      </c>
      <c r="D518" s="33" t="s">
        <v>143</v>
      </c>
      <c r="E518" s="33"/>
      <c r="F518" s="33"/>
      <c r="G518" s="33"/>
      <c r="H518" s="33"/>
      <c r="L518">
        <v>3</v>
      </c>
      <c r="CA518" t="s">
        <v>876</v>
      </c>
      <c r="CB518" t="s">
        <v>116</v>
      </c>
      <c r="CC518" t="s">
        <v>152</v>
      </c>
      <c r="CD518" t="s">
        <v>118</v>
      </c>
      <c r="CF518" t="s">
        <v>370</v>
      </c>
      <c r="CH518" t="s">
        <v>164</v>
      </c>
      <c r="CL518">
        <v>3</v>
      </c>
    </row>
    <row r="519" spans="1:90">
      <c r="A519" s="33" t="s">
        <v>155</v>
      </c>
      <c r="B519" s="33" t="s">
        <v>172</v>
      </c>
      <c r="C519" s="33" t="s">
        <v>149</v>
      </c>
      <c r="D519" s="33" t="s">
        <v>124</v>
      </c>
      <c r="E519" s="33"/>
      <c r="F519" s="33"/>
      <c r="G519" s="33"/>
      <c r="H519" s="33"/>
      <c r="L519">
        <v>3</v>
      </c>
      <c r="CA519" t="s">
        <v>877</v>
      </c>
      <c r="CB519" t="s">
        <v>116</v>
      </c>
      <c r="CC519" t="s">
        <v>152</v>
      </c>
      <c r="CD519" t="s">
        <v>118</v>
      </c>
      <c r="CF519" t="s">
        <v>370</v>
      </c>
      <c r="CH519" t="s">
        <v>164</v>
      </c>
      <c r="CL519">
        <v>3</v>
      </c>
    </row>
    <row r="520" spans="1:90">
      <c r="A520" s="33" t="s">
        <v>780</v>
      </c>
      <c r="B520" s="33" t="s">
        <v>172</v>
      </c>
      <c r="C520" s="33" t="s">
        <v>152</v>
      </c>
      <c r="D520" s="33" t="s">
        <v>124</v>
      </c>
      <c r="E520" s="33"/>
      <c r="F520" s="33"/>
      <c r="G520" s="33"/>
      <c r="H520" s="33"/>
      <c r="L520">
        <v>3</v>
      </c>
      <c r="CA520" t="s">
        <v>878</v>
      </c>
      <c r="CB520" t="s">
        <v>116</v>
      </c>
      <c r="CC520" t="s">
        <v>149</v>
      </c>
      <c r="CD520" t="s">
        <v>118</v>
      </c>
      <c r="CF520" t="s">
        <v>370</v>
      </c>
      <c r="CH520" t="s">
        <v>164</v>
      </c>
      <c r="CJ520" t="s">
        <v>189</v>
      </c>
      <c r="CK520" t="s">
        <v>879</v>
      </c>
      <c r="CL520">
        <v>3</v>
      </c>
    </row>
    <row r="521" spans="1:90">
      <c r="A521" t="s">
        <v>781</v>
      </c>
      <c r="B521" t="s">
        <v>279</v>
      </c>
      <c r="C521" t="s">
        <v>149</v>
      </c>
      <c r="D521" t="s">
        <v>118</v>
      </c>
      <c r="L521">
        <v>3</v>
      </c>
      <c r="CA521" t="s">
        <v>880</v>
      </c>
      <c r="CB521" t="s">
        <v>151</v>
      </c>
      <c r="CC521" t="s">
        <v>152</v>
      </c>
      <c r="CD521" t="s">
        <v>124</v>
      </c>
      <c r="CE521" t="s">
        <v>167</v>
      </c>
      <c r="CJ521" t="s">
        <v>221</v>
      </c>
      <c r="CK521" t="s">
        <v>222</v>
      </c>
      <c r="CL521">
        <v>3</v>
      </c>
    </row>
    <row r="522" spans="1:90">
      <c r="A522" t="s">
        <v>782</v>
      </c>
      <c r="B522" t="s">
        <v>279</v>
      </c>
      <c r="C522" t="s">
        <v>152</v>
      </c>
      <c r="D522" t="s">
        <v>124</v>
      </c>
      <c r="L522">
        <v>3</v>
      </c>
      <c r="CA522" t="s">
        <v>881</v>
      </c>
      <c r="CB522" t="s">
        <v>151</v>
      </c>
      <c r="CC522" t="s">
        <v>149</v>
      </c>
      <c r="CD522" t="s">
        <v>124</v>
      </c>
      <c r="CE522" t="s">
        <v>167</v>
      </c>
      <c r="CF522" t="s">
        <v>163</v>
      </c>
      <c r="CH522" t="s">
        <v>164</v>
      </c>
      <c r="CJ522" t="s">
        <v>168</v>
      </c>
      <c r="CK522" t="s">
        <v>882</v>
      </c>
      <c r="CL522">
        <v>3</v>
      </c>
    </row>
    <row r="523" spans="1:90">
      <c r="A523" t="s">
        <v>783</v>
      </c>
      <c r="B523" t="s">
        <v>279</v>
      </c>
      <c r="C523" t="s">
        <v>149</v>
      </c>
      <c r="D523" t="s">
        <v>124</v>
      </c>
      <c r="L523">
        <v>3</v>
      </c>
      <c r="CA523" t="s">
        <v>883</v>
      </c>
      <c r="CB523" t="s">
        <v>162</v>
      </c>
      <c r="CC523" t="s">
        <v>277</v>
      </c>
      <c r="CD523" t="s">
        <v>124</v>
      </c>
      <c r="CL523">
        <v>3</v>
      </c>
    </row>
    <row r="524" spans="1:90">
      <c r="A524" t="s">
        <v>784</v>
      </c>
      <c r="B524" t="s">
        <v>279</v>
      </c>
      <c r="C524" t="s">
        <v>152</v>
      </c>
      <c r="D524" t="s">
        <v>124</v>
      </c>
      <c r="L524">
        <v>3</v>
      </c>
      <c r="CA524" t="s">
        <v>884</v>
      </c>
      <c r="CB524" t="s">
        <v>175</v>
      </c>
      <c r="CC524" t="s">
        <v>152</v>
      </c>
      <c r="CD524" t="s">
        <v>118</v>
      </c>
      <c r="CF524" t="s">
        <v>163</v>
      </c>
      <c r="CG524" t="s">
        <v>273</v>
      </c>
      <c r="CH524" t="s">
        <v>164</v>
      </c>
      <c r="CL524">
        <v>3</v>
      </c>
    </row>
    <row r="525" spans="1:90">
      <c r="A525" t="s">
        <v>785</v>
      </c>
      <c r="B525" t="s">
        <v>279</v>
      </c>
      <c r="C525" t="s">
        <v>149</v>
      </c>
      <c r="D525" t="s">
        <v>118</v>
      </c>
      <c r="L525">
        <v>3</v>
      </c>
      <c r="CA525" t="s">
        <v>885</v>
      </c>
      <c r="CB525" t="s">
        <v>175</v>
      </c>
      <c r="CC525" t="s">
        <v>152</v>
      </c>
      <c r="CD525" t="s">
        <v>118</v>
      </c>
      <c r="CL525">
        <v>3</v>
      </c>
    </row>
    <row r="526" spans="1:90">
      <c r="A526" t="s">
        <v>786</v>
      </c>
      <c r="B526" t="s">
        <v>279</v>
      </c>
      <c r="C526" t="s">
        <v>216</v>
      </c>
      <c r="D526" t="s">
        <v>124</v>
      </c>
      <c r="L526">
        <v>3</v>
      </c>
      <c r="CA526" s="33" t="s">
        <v>886</v>
      </c>
      <c r="CB526" s="33" t="s">
        <v>172</v>
      </c>
      <c r="CC526" s="33" t="s">
        <v>152</v>
      </c>
      <c r="CD526" s="33" t="s">
        <v>118</v>
      </c>
      <c r="CE526" s="33"/>
      <c r="CF526" s="33"/>
      <c r="CG526" s="33"/>
      <c r="CH526" s="33"/>
      <c r="CL526">
        <v>3</v>
      </c>
    </row>
    <row r="527" spans="1:90">
      <c r="A527" t="s">
        <v>787</v>
      </c>
      <c r="B527" t="s">
        <v>215</v>
      </c>
      <c r="C527" t="s">
        <v>216</v>
      </c>
      <c r="D527" t="s">
        <v>124</v>
      </c>
      <c r="L527">
        <v>3</v>
      </c>
      <c r="CA527" s="33" t="s">
        <v>887</v>
      </c>
      <c r="CB527" s="33" t="s">
        <v>172</v>
      </c>
      <c r="CC527" s="33" t="s">
        <v>149</v>
      </c>
      <c r="CD527" s="33" t="s">
        <v>124</v>
      </c>
      <c r="CE527" s="33"/>
      <c r="CF527" s="33"/>
      <c r="CG527" s="33"/>
      <c r="CH527" s="33"/>
      <c r="CL527">
        <v>3</v>
      </c>
    </row>
    <row r="528" spans="1:90">
      <c r="A528" t="s">
        <v>788</v>
      </c>
      <c r="B528" t="s">
        <v>215</v>
      </c>
      <c r="C528" t="s">
        <v>149</v>
      </c>
      <c r="D528" t="s">
        <v>124</v>
      </c>
      <c r="F528" t="s">
        <v>745</v>
      </c>
      <c r="H528" t="s">
        <v>164</v>
      </c>
      <c r="L528">
        <v>3</v>
      </c>
      <c r="CA528" s="33" t="s">
        <v>888</v>
      </c>
      <c r="CB528" s="33" t="s">
        <v>172</v>
      </c>
      <c r="CC528" s="33" t="s">
        <v>152</v>
      </c>
      <c r="CD528" s="33" t="s">
        <v>118</v>
      </c>
      <c r="CE528" s="33"/>
      <c r="CF528" s="33"/>
      <c r="CG528" s="33"/>
      <c r="CH528" s="33"/>
      <c r="CL528">
        <v>3</v>
      </c>
    </row>
    <row r="529" spans="1:90">
      <c r="A529" t="s">
        <v>789</v>
      </c>
      <c r="B529" t="s">
        <v>175</v>
      </c>
      <c r="C529" t="s">
        <v>152</v>
      </c>
      <c r="D529" t="s">
        <v>118</v>
      </c>
      <c r="L529">
        <v>3</v>
      </c>
      <c r="CA529" s="33" t="s">
        <v>889</v>
      </c>
      <c r="CB529" s="33" t="s">
        <v>172</v>
      </c>
      <c r="CC529" s="33" t="s">
        <v>152</v>
      </c>
      <c r="CD529" s="33" t="s">
        <v>124</v>
      </c>
      <c r="CE529" s="33"/>
      <c r="CF529" s="33"/>
      <c r="CG529" s="33"/>
      <c r="CH529" s="33"/>
      <c r="CL529">
        <v>3</v>
      </c>
    </row>
    <row r="530" spans="1:90">
      <c r="A530" t="s">
        <v>790</v>
      </c>
      <c r="B530" t="s">
        <v>175</v>
      </c>
      <c r="C530" t="s">
        <v>149</v>
      </c>
      <c r="D530" t="s">
        <v>124</v>
      </c>
      <c r="L530">
        <v>3</v>
      </c>
      <c r="CA530" s="33" t="s">
        <v>890</v>
      </c>
      <c r="CB530" s="33" t="s">
        <v>172</v>
      </c>
      <c r="CC530" s="33" t="s">
        <v>149</v>
      </c>
      <c r="CD530" s="33" t="s">
        <v>124</v>
      </c>
      <c r="CE530" s="33"/>
      <c r="CF530" s="33"/>
      <c r="CG530" s="33"/>
      <c r="CH530" s="33"/>
      <c r="CL530">
        <v>3</v>
      </c>
    </row>
    <row r="531" spans="1:90">
      <c r="A531" t="s">
        <v>791</v>
      </c>
      <c r="B531" t="s">
        <v>175</v>
      </c>
      <c r="C531" t="s">
        <v>152</v>
      </c>
      <c r="D531" t="s">
        <v>118</v>
      </c>
      <c r="L531">
        <v>3</v>
      </c>
      <c r="CA531" t="s">
        <v>891</v>
      </c>
      <c r="CB531" t="s">
        <v>279</v>
      </c>
      <c r="CC531" t="s">
        <v>152</v>
      </c>
      <c r="CD531" t="s">
        <v>118</v>
      </c>
      <c r="CL531">
        <v>3</v>
      </c>
    </row>
    <row r="532" spans="1:90">
      <c r="A532" t="s">
        <v>792</v>
      </c>
      <c r="B532" t="s">
        <v>116</v>
      </c>
      <c r="C532" t="s">
        <v>149</v>
      </c>
      <c r="D532" t="s">
        <v>124</v>
      </c>
      <c r="F532" t="s">
        <v>370</v>
      </c>
      <c r="H532" t="s">
        <v>164</v>
      </c>
      <c r="L532">
        <v>3</v>
      </c>
      <c r="CA532" t="s">
        <v>892</v>
      </c>
      <c r="CB532" t="s">
        <v>279</v>
      </c>
      <c r="CC532" t="s">
        <v>149</v>
      </c>
      <c r="CD532" t="s">
        <v>118</v>
      </c>
      <c r="CL532">
        <v>3</v>
      </c>
    </row>
    <row r="533" spans="1:90">
      <c r="A533" t="s">
        <v>793</v>
      </c>
      <c r="B533" t="s">
        <v>151</v>
      </c>
      <c r="C533" t="s">
        <v>149</v>
      </c>
      <c r="D533" t="s">
        <v>124</v>
      </c>
      <c r="E533" t="s">
        <v>167</v>
      </c>
      <c r="I533" t="s">
        <v>221</v>
      </c>
      <c r="J533" t="s">
        <v>168</v>
      </c>
      <c r="K533" t="s">
        <v>200</v>
      </c>
      <c r="L533">
        <v>3</v>
      </c>
      <c r="CA533" t="s">
        <v>893</v>
      </c>
      <c r="CB533" t="s">
        <v>175</v>
      </c>
      <c r="CC533" t="s">
        <v>152</v>
      </c>
      <c r="CD533" t="s">
        <v>124</v>
      </c>
      <c r="CL533">
        <v>3</v>
      </c>
    </row>
    <row r="534" spans="1:90">
      <c r="A534" t="s">
        <v>794</v>
      </c>
      <c r="B534" t="s">
        <v>175</v>
      </c>
      <c r="C534" t="s">
        <v>149</v>
      </c>
      <c r="D534" t="s">
        <v>124</v>
      </c>
      <c r="L534">
        <v>3</v>
      </c>
      <c r="CA534" t="s">
        <v>894</v>
      </c>
      <c r="CB534" t="s">
        <v>175</v>
      </c>
      <c r="CC534" t="s">
        <v>152</v>
      </c>
      <c r="CD534" t="s">
        <v>118</v>
      </c>
      <c r="CF534" t="s">
        <v>163</v>
      </c>
      <c r="CH534" t="s">
        <v>164</v>
      </c>
      <c r="CL534">
        <v>3</v>
      </c>
    </row>
    <row r="535" spans="1:90">
      <c r="A535" t="s">
        <v>795</v>
      </c>
      <c r="B535" t="s">
        <v>175</v>
      </c>
      <c r="C535" t="s">
        <v>149</v>
      </c>
      <c r="D535" t="s">
        <v>118</v>
      </c>
      <c r="J535">
        <v>42354</v>
      </c>
      <c r="L535">
        <v>3</v>
      </c>
      <c r="CA535" t="s">
        <v>895</v>
      </c>
      <c r="CB535" t="s">
        <v>175</v>
      </c>
      <c r="CC535" t="s">
        <v>152</v>
      </c>
      <c r="CD535" t="s">
        <v>124</v>
      </c>
      <c r="CE535" t="s">
        <v>167</v>
      </c>
      <c r="CI535" t="s">
        <v>186</v>
      </c>
      <c r="CJ535" t="s">
        <v>186</v>
      </c>
      <c r="CK535" t="s">
        <v>896</v>
      </c>
      <c r="CL535">
        <v>3</v>
      </c>
    </row>
    <row r="536" spans="1:90">
      <c r="A536" t="s">
        <v>796</v>
      </c>
      <c r="B536" t="s">
        <v>215</v>
      </c>
      <c r="C536" t="s">
        <v>149</v>
      </c>
      <c r="D536" t="s">
        <v>118</v>
      </c>
      <c r="L536">
        <v>3</v>
      </c>
      <c r="CA536" t="s">
        <v>897</v>
      </c>
      <c r="CB536" t="s">
        <v>175</v>
      </c>
      <c r="CC536" t="s">
        <v>152</v>
      </c>
      <c r="CD536" t="s">
        <v>124</v>
      </c>
      <c r="CL536">
        <v>3</v>
      </c>
    </row>
    <row r="537" spans="1:90">
      <c r="A537" t="s">
        <v>797</v>
      </c>
      <c r="B537" t="s">
        <v>116</v>
      </c>
      <c r="C537" t="s">
        <v>120</v>
      </c>
      <c r="D537" t="s">
        <v>118</v>
      </c>
      <c r="L537">
        <v>3</v>
      </c>
      <c r="CA537" t="s">
        <v>898</v>
      </c>
      <c r="CB537" t="s">
        <v>175</v>
      </c>
      <c r="CC537" t="s">
        <v>149</v>
      </c>
      <c r="CD537" t="s">
        <v>118</v>
      </c>
      <c r="CL537">
        <v>3</v>
      </c>
    </row>
    <row r="538" spans="1:90">
      <c r="A538" t="s">
        <v>798</v>
      </c>
      <c r="B538" t="s">
        <v>116</v>
      </c>
      <c r="C538" t="s">
        <v>117</v>
      </c>
      <c r="D538" t="s">
        <v>118</v>
      </c>
      <c r="F538" t="s">
        <v>370</v>
      </c>
      <c r="G538" t="s">
        <v>163</v>
      </c>
      <c r="H538" t="s">
        <v>164</v>
      </c>
      <c r="L538">
        <v>3</v>
      </c>
      <c r="CA538" t="s">
        <v>899</v>
      </c>
      <c r="CB538" t="s">
        <v>175</v>
      </c>
      <c r="CC538" t="s">
        <v>149</v>
      </c>
      <c r="CD538" t="s">
        <v>124</v>
      </c>
      <c r="CL538">
        <v>3</v>
      </c>
    </row>
    <row r="539" spans="1:90">
      <c r="A539" t="s">
        <v>799</v>
      </c>
      <c r="B539" t="s">
        <v>151</v>
      </c>
      <c r="C539" t="s">
        <v>149</v>
      </c>
      <c r="D539" t="s">
        <v>124</v>
      </c>
      <c r="E539" t="s">
        <v>167</v>
      </c>
      <c r="I539" t="s">
        <v>168</v>
      </c>
      <c r="J539" t="s">
        <v>168</v>
      </c>
      <c r="K539" t="s">
        <v>800</v>
      </c>
      <c r="L539">
        <v>3</v>
      </c>
      <c r="CA539" t="s">
        <v>902</v>
      </c>
      <c r="CB539" t="s">
        <v>175</v>
      </c>
      <c r="CC539" t="s">
        <v>149</v>
      </c>
      <c r="CD539" t="s">
        <v>118</v>
      </c>
      <c r="CL539">
        <v>3</v>
      </c>
    </row>
    <row r="540" spans="1:90">
      <c r="A540" t="s">
        <v>801</v>
      </c>
      <c r="B540" t="s">
        <v>162</v>
      </c>
      <c r="C540" t="s">
        <v>152</v>
      </c>
      <c r="D540" t="s">
        <v>118</v>
      </c>
      <c r="L540">
        <v>3</v>
      </c>
      <c r="CA540" t="s">
        <v>905</v>
      </c>
      <c r="CB540" t="s">
        <v>116</v>
      </c>
      <c r="CC540" t="s">
        <v>277</v>
      </c>
      <c r="CD540" t="s">
        <v>118</v>
      </c>
      <c r="CF540" t="s">
        <v>163</v>
      </c>
      <c r="CH540" t="s">
        <v>164</v>
      </c>
      <c r="CL540">
        <v>4</v>
      </c>
    </row>
    <row r="541" spans="1:90">
      <c r="A541" t="s">
        <v>802</v>
      </c>
      <c r="B541" t="s">
        <v>151</v>
      </c>
      <c r="C541" t="s">
        <v>152</v>
      </c>
      <c r="D541" t="s">
        <v>124</v>
      </c>
      <c r="E541" t="s">
        <v>295</v>
      </c>
      <c r="I541" t="s">
        <v>168</v>
      </c>
      <c r="J541" t="s">
        <v>181</v>
      </c>
      <c r="K541" t="s">
        <v>803</v>
      </c>
      <c r="L541">
        <v>3</v>
      </c>
      <c r="CA541" t="s">
        <v>906</v>
      </c>
      <c r="CB541" t="s">
        <v>116</v>
      </c>
      <c r="CC541" t="s">
        <v>149</v>
      </c>
      <c r="CD541" t="s">
        <v>118</v>
      </c>
      <c r="CF541" t="s">
        <v>370</v>
      </c>
      <c r="CH541" t="s">
        <v>164</v>
      </c>
      <c r="CL541">
        <v>4</v>
      </c>
    </row>
    <row r="542" spans="1:90">
      <c r="A542" t="s">
        <v>804</v>
      </c>
      <c r="B542" t="s">
        <v>151</v>
      </c>
      <c r="C542" t="s">
        <v>152</v>
      </c>
      <c r="D542" t="s">
        <v>143</v>
      </c>
      <c r="E542" t="s">
        <v>167</v>
      </c>
      <c r="F542" t="s">
        <v>370</v>
      </c>
      <c r="G542" t="s">
        <v>519</v>
      </c>
      <c r="H542" t="s">
        <v>164</v>
      </c>
      <c r="I542" t="s">
        <v>186</v>
      </c>
      <c r="J542" t="s">
        <v>186</v>
      </c>
      <c r="K542" t="s">
        <v>805</v>
      </c>
      <c r="L542">
        <v>3</v>
      </c>
      <c r="CA542" t="s">
        <v>909</v>
      </c>
      <c r="CB542" t="s">
        <v>151</v>
      </c>
      <c r="CC542" t="s">
        <v>149</v>
      </c>
      <c r="CD542" t="s">
        <v>124</v>
      </c>
      <c r="CF542" t="s">
        <v>163</v>
      </c>
      <c r="CH542" t="s">
        <v>164</v>
      </c>
      <c r="CJ542" t="s">
        <v>221</v>
      </c>
      <c r="CK542" t="s">
        <v>910</v>
      </c>
      <c r="CL542">
        <v>4</v>
      </c>
    </row>
    <row r="543" spans="1:90">
      <c r="A543" t="s">
        <v>806</v>
      </c>
      <c r="B543" t="s">
        <v>175</v>
      </c>
      <c r="C543" t="s">
        <v>152</v>
      </c>
      <c r="D543" t="s">
        <v>132</v>
      </c>
      <c r="F543" t="s">
        <v>370</v>
      </c>
      <c r="H543" t="s">
        <v>164</v>
      </c>
      <c r="L543">
        <v>3</v>
      </c>
      <c r="CA543" t="s">
        <v>911</v>
      </c>
      <c r="CB543" t="s">
        <v>151</v>
      </c>
      <c r="CC543" t="s">
        <v>152</v>
      </c>
      <c r="CD543" t="s">
        <v>124</v>
      </c>
      <c r="CF543" t="s">
        <v>163</v>
      </c>
      <c r="CH543" t="s">
        <v>164</v>
      </c>
      <c r="CL543">
        <v>4</v>
      </c>
    </row>
    <row r="544" spans="1:90">
      <c r="A544" t="s">
        <v>807</v>
      </c>
      <c r="B544" t="s">
        <v>175</v>
      </c>
      <c r="C544" t="s">
        <v>152</v>
      </c>
      <c r="D544" t="s">
        <v>118</v>
      </c>
      <c r="F544" t="s">
        <v>163</v>
      </c>
      <c r="G544" t="s">
        <v>273</v>
      </c>
      <c r="H544" t="s">
        <v>164</v>
      </c>
      <c r="L544">
        <v>3</v>
      </c>
      <c r="CA544" t="s">
        <v>912</v>
      </c>
      <c r="CB544" t="s">
        <v>151</v>
      </c>
      <c r="CC544" t="s">
        <v>149</v>
      </c>
      <c r="CD544" t="s">
        <v>118</v>
      </c>
      <c r="CL544">
        <v>4</v>
      </c>
    </row>
    <row r="545" spans="1:90">
      <c r="A545" t="s">
        <v>808</v>
      </c>
      <c r="B545" t="s">
        <v>175</v>
      </c>
      <c r="C545" t="s">
        <v>149</v>
      </c>
      <c r="D545" t="s">
        <v>118</v>
      </c>
      <c r="L545">
        <v>3</v>
      </c>
      <c r="CA545" t="s">
        <v>913</v>
      </c>
      <c r="CB545" t="s">
        <v>175</v>
      </c>
      <c r="CC545" t="s">
        <v>152</v>
      </c>
      <c r="CD545" t="s">
        <v>118</v>
      </c>
      <c r="CL545">
        <v>4</v>
      </c>
    </row>
    <row r="546" spans="1:90">
      <c r="A546" s="33" t="s">
        <v>809</v>
      </c>
      <c r="B546" s="33" t="s">
        <v>172</v>
      </c>
      <c r="C546" s="33" t="s">
        <v>152</v>
      </c>
      <c r="D546" s="33" t="s">
        <v>118</v>
      </c>
      <c r="E546" s="33"/>
      <c r="F546" s="33"/>
      <c r="G546" s="33"/>
      <c r="H546" s="33"/>
      <c r="L546">
        <v>3</v>
      </c>
      <c r="CA546" t="s">
        <v>916</v>
      </c>
      <c r="CB546" t="s">
        <v>175</v>
      </c>
      <c r="CC546" t="s">
        <v>152</v>
      </c>
      <c r="CD546" t="s">
        <v>118</v>
      </c>
      <c r="CL546">
        <v>4</v>
      </c>
    </row>
    <row r="547" spans="1:90">
      <c r="A547" s="33" t="s">
        <v>810</v>
      </c>
      <c r="B547" s="33" t="s">
        <v>172</v>
      </c>
      <c r="C547" s="33" t="s">
        <v>152</v>
      </c>
      <c r="D547" s="33" t="s">
        <v>118</v>
      </c>
      <c r="E547" s="33"/>
      <c r="F547" s="33"/>
      <c r="G547" s="33"/>
      <c r="H547" s="33"/>
      <c r="L547">
        <v>3</v>
      </c>
      <c r="CA547" t="s">
        <v>917</v>
      </c>
      <c r="CB547" t="s">
        <v>175</v>
      </c>
      <c r="CC547" t="s">
        <v>152</v>
      </c>
      <c r="CD547" t="s">
        <v>138</v>
      </c>
      <c r="CF547" t="s">
        <v>163</v>
      </c>
      <c r="CH547" t="s">
        <v>164</v>
      </c>
      <c r="CL547">
        <v>4</v>
      </c>
    </row>
    <row r="548" spans="1:90">
      <c r="A548" s="33" t="s">
        <v>811</v>
      </c>
      <c r="B548" s="33" t="s">
        <v>172</v>
      </c>
      <c r="C548" s="33" t="s">
        <v>149</v>
      </c>
      <c r="D548" s="33" t="s">
        <v>118</v>
      </c>
      <c r="E548" s="33"/>
      <c r="F548" s="33"/>
      <c r="G548" s="33"/>
      <c r="H548" s="33"/>
      <c r="L548">
        <v>3</v>
      </c>
      <c r="CA548" t="s">
        <v>918</v>
      </c>
      <c r="CB548" t="s">
        <v>175</v>
      </c>
      <c r="CC548" t="s">
        <v>152</v>
      </c>
      <c r="CD548" t="s">
        <v>138</v>
      </c>
      <c r="CF548" t="s">
        <v>163</v>
      </c>
      <c r="CH548" t="s">
        <v>164</v>
      </c>
      <c r="CL548">
        <v>4</v>
      </c>
    </row>
    <row r="549" spans="1:90">
      <c r="A549" s="33" t="s">
        <v>812</v>
      </c>
      <c r="B549" s="33" t="s">
        <v>172</v>
      </c>
      <c r="C549" s="33" t="s">
        <v>152</v>
      </c>
      <c r="D549" s="33" t="s">
        <v>124</v>
      </c>
      <c r="E549" s="33"/>
      <c r="F549" s="33"/>
      <c r="G549" s="33"/>
      <c r="H549" s="33"/>
      <c r="L549">
        <v>3</v>
      </c>
      <c r="CA549" t="s">
        <v>919</v>
      </c>
      <c r="CB549" t="s">
        <v>175</v>
      </c>
      <c r="CC549" t="s">
        <v>149</v>
      </c>
      <c r="CD549" t="s">
        <v>118</v>
      </c>
      <c r="CL549">
        <v>4</v>
      </c>
    </row>
    <row r="550" spans="1:90">
      <c r="A550" s="33" t="s">
        <v>813</v>
      </c>
      <c r="B550" s="33" t="s">
        <v>172</v>
      </c>
      <c r="C550" s="33" t="s">
        <v>152</v>
      </c>
      <c r="D550" s="33" t="s">
        <v>118</v>
      </c>
      <c r="E550" s="33"/>
      <c r="F550" s="33"/>
      <c r="G550" s="33"/>
      <c r="H550" s="33"/>
      <c r="L550">
        <v>3</v>
      </c>
      <c r="CA550" s="33" t="s">
        <v>920</v>
      </c>
      <c r="CB550" s="33" t="s">
        <v>172</v>
      </c>
      <c r="CC550" s="33" t="s">
        <v>216</v>
      </c>
      <c r="CD550" s="33" t="s">
        <v>124</v>
      </c>
      <c r="CE550" s="33"/>
      <c r="CF550" s="33"/>
      <c r="CG550" s="33"/>
      <c r="CH550" s="33"/>
      <c r="CL550">
        <v>4</v>
      </c>
    </row>
    <row r="551" spans="1:90">
      <c r="A551" s="33" t="s">
        <v>814</v>
      </c>
      <c r="B551" s="33" t="s">
        <v>172</v>
      </c>
      <c r="C551" s="33" t="s">
        <v>149</v>
      </c>
      <c r="D551" s="33" t="s">
        <v>118</v>
      </c>
      <c r="E551" s="33"/>
      <c r="F551" s="33"/>
      <c r="G551" s="33"/>
      <c r="H551" s="33"/>
      <c r="L551">
        <v>3</v>
      </c>
      <c r="CA551" s="33" t="s">
        <v>921</v>
      </c>
      <c r="CB551" s="33" t="s">
        <v>172</v>
      </c>
      <c r="CC551" s="33" t="s">
        <v>152</v>
      </c>
      <c r="CD551" s="33" t="s">
        <v>118</v>
      </c>
      <c r="CE551" s="33"/>
      <c r="CF551" s="33"/>
      <c r="CG551" s="33"/>
      <c r="CH551" s="33"/>
      <c r="CL551">
        <v>4</v>
      </c>
    </row>
    <row r="552" spans="1:90">
      <c r="A552" s="33" t="s">
        <v>815</v>
      </c>
      <c r="B552" s="33" t="s">
        <v>172</v>
      </c>
      <c r="C552" s="33" t="s">
        <v>149</v>
      </c>
      <c r="D552" s="33" t="s">
        <v>118</v>
      </c>
      <c r="E552" s="33"/>
      <c r="F552" s="33"/>
      <c r="G552" s="33"/>
      <c r="H552" s="33"/>
      <c r="L552">
        <v>3</v>
      </c>
      <c r="CA552" s="33" t="s">
        <v>922</v>
      </c>
      <c r="CB552" s="33" t="s">
        <v>172</v>
      </c>
      <c r="CC552" s="33" t="s">
        <v>152</v>
      </c>
      <c r="CD552" s="33" t="s">
        <v>124</v>
      </c>
      <c r="CE552" s="33"/>
      <c r="CF552" s="33"/>
      <c r="CG552" s="33"/>
      <c r="CH552" s="33"/>
      <c r="CL552">
        <v>4</v>
      </c>
    </row>
    <row r="553" spans="1:90">
      <c r="A553" s="33" t="s">
        <v>816</v>
      </c>
      <c r="B553" s="33" t="s">
        <v>172</v>
      </c>
      <c r="C553" s="33" t="s">
        <v>152</v>
      </c>
      <c r="D553" s="33" t="s">
        <v>118</v>
      </c>
      <c r="E553" s="33"/>
      <c r="F553" s="33"/>
      <c r="G553" s="33"/>
      <c r="H553" s="33"/>
      <c r="L553">
        <v>3</v>
      </c>
      <c r="CA553" s="33" t="s">
        <v>923</v>
      </c>
      <c r="CB553" s="33" t="s">
        <v>172</v>
      </c>
      <c r="CC553" s="33" t="s">
        <v>149</v>
      </c>
      <c r="CD553" s="33" t="s">
        <v>118</v>
      </c>
      <c r="CE553" s="33"/>
      <c r="CF553" s="33"/>
      <c r="CG553" s="33"/>
      <c r="CH553" s="33"/>
      <c r="CL553">
        <v>4</v>
      </c>
    </row>
    <row r="554" spans="1:90">
      <c r="A554" t="s">
        <v>817</v>
      </c>
      <c r="B554" t="s">
        <v>279</v>
      </c>
      <c r="C554" t="s">
        <v>216</v>
      </c>
      <c r="D554" t="s">
        <v>124</v>
      </c>
      <c r="L554">
        <v>3</v>
      </c>
      <c r="CA554" t="s">
        <v>924</v>
      </c>
      <c r="CB554" t="s">
        <v>175</v>
      </c>
      <c r="CC554" t="s">
        <v>852</v>
      </c>
      <c r="CD554" t="s">
        <v>124</v>
      </c>
      <c r="CL554">
        <v>4</v>
      </c>
    </row>
    <row r="555" spans="1:90">
      <c r="A555" t="s">
        <v>818</v>
      </c>
      <c r="B555" t="s">
        <v>279</v>
      </c>
      <c r="C555" t="s">
        <v>149</v>
      </c>
      <c r="D555" t="s">
        <v>124</v>
      </c>
      <c r="L555">
        <v>3</v>
      </c>
      <c r="CA555" t="s">
        <v>925</v>
      </c>
      <c r="CB555" t="s">
        <v>175</v>
      </c>
      <c r="CC555" t="s">
        <v>149</v>
      </c>
      <c r="CD555" t="s">
        <v>124</v>
      </c>
      <c r="CE555" t="s">
        <v>167</v>
      </c>
      <c r="CI555" t="s">
        <v>189</v>
      </c>
      <c r="CJ555" t="s">
        <v>189</v>
      </c>
      <c r="CK555" t="s">
        <v>347</v>
      </c>
      <c r="CL555">
        <v>4</v>
      </c>
    </row>
    <row r="556" spans="1:90">
      <c r="A556" t="s">
        <v>819</v>
      </c>
      <c r="B556" t="s">
        <v>279</v>
      </c>
      <c r="C556" t="s">
        <v>149</v>
      </c>
      <c r="D556" t="s">
        <v>118</v>
      </c>
      <c r="L556">
        <v>3</v>
      </c>
      <c r="CA556" t="s">
        <v>926</v>
      </c>
      <c r="CB556" t="s">
        <v>151</v>
      </c>
      <c r="CC556" t="s">
        <v>149</v>
      </c>
      <c r="CD556" t="s">
        <v>124</v>
      </c>
      <c r="CF556" t="s">
        <v>163</v>
      </c>
      <c r="CH556" t="s">
        <v>164</v>
      </c>
      <c r="CL556">
        <v>4</v>
      </c>
    </row>
    <row r="557" spans="1:90">
      <c r="A557" t="s">
        <v>820</v>
      </c>
      <c r="B557" t="s">
        <v>279</v>
      </c>
      <c r="C557" t="s">
        <v>149</v>
      </c>
      <c r="D557" t="s">
        <v>118</v>
      </c>
      <c r="L557">
        <v>3</v>
      </c>
      <c r="CA557" t="s">
        <v>927</v>
      </c>
      <c r="CB557" t="s">
        <v>175</v>
      </c>
      <c r="CC557" t="s">
        <v>149</v>
      </c>
      <c r="CD557" t="s">
        <v>124</v>
      </c>
      <c r="CL557">
        <v>4</v>
      </c>
    </row>
    <row r="558" spans="1:90">
      <c r="A558" t="s">
        <v>821</v>
      </c>
      <c r="B558" t="s">
        <v>279</v>
      </c>
      <c r="C558" t="s">
        <v>149</v>
      </c>
      <c r="D558" t="s">
        <v>118</v>
      </c>
      <c r="L558">
        <v>3</v>
      </c>
      <c r="CA558" t="s">
        <v>928</v>
      </c>
      <c r="CB558" t="s">
        <v>116</v>
      </c>
      <c r="CC558" t="s">
        <v>120</v>
      </c>
      <c r="CD558" t="s">
        <v>118</v>
      </c>
      <c r="CL558">
        <v>4</v>
      </c>
    </row>
    <row r="559" spans="1:90">
      <c r="A559" t="s">
        <v>822</v>
      </c>
      <c r="B559" t="s">
        <v>279</v>
      </c>
      <c r="C559" t="s">
        <v>149</v>
      </c>
      <c r="D559" t="s">
        <v>118</v>
      </c>
      <c r="L559">
        <v>3</v>
      </c>
      <c r="CA559" t="s">
        <v>929</v>
      </c>
      <c r="CB559" t="s">
        <v>116</v>
      </c>
      <c r="CC559" t="s">
        <v>120</v>
      </c>
      <c r="CD559" t="s">
        <v>118</v>
      </c>
      <c r="CL559">
        <v>4</v>
      </c>
    </row>
    <row r="560" spans="1:90">
      <c r="A560" t="s">
        <v>823</v>
      </c>
      <c r="B560" t="s">
        <v>175</v>
      </c>
      <c r="C560" t="s">
        <v>152</v>
      </c>
      <c r="D560" t="s">
        <v>118</v>
      </c>
      <c r="L560">
        <v>3</v>
      </c>
      <c r="CA560" t="s">
        <v>930</v>
      </c>
      <c r="CB560" t="s">
        <v>116</v>
      </c>
      <c r="CC560" t="s">
        <v>120</v>
      </c>
      <c r="CD560" t="s">
        <v>118</v>
      </c>
      <c r="CL560">
        <v>4</v>
      </c>
    </row>
    <row r="561" spans="1:90">
      <c r="A561" t="s">
        <v>824</v>
      </c>
      <c r="B561" t="s">
        <v>175</v>
      </c>
      <c r="C561" t="s">
        <v>152</v>
      </c>
      <c r="D561" t="s">
        <v>124</v>
      </c>
      <c r="L561">
        <v>3</v>
      </c>
      <c r="CA561" t="s">
        <v>931</v>
      </c>
      <c r="CB561" t="s">
        <v>116</v>
      </c>
      <c r="CC561" t="s">
        <v>152</v>
      </c>
      <c r="CD561" t="s">
        <v>118</v>
      </c>
      <c r="CL561">
        <v>4</v>
      </c>
    </row>
    <row r="562" spans="1:90">
      <c r="A562" t="s">
        <v>825</v>
      </c>
      <c r="B562" t="s">
        <v>175</v>
      </c>
      <c r="C562" t="s">
        <v>152</v>
      </c>
      <c r="D562" t="s">
        <v>124</v>
      </c>
      <c r="L562">
        <v>3</v>
      </c>
      <c r="CA562" t="s">
        <v>932</v>
      </c>
      <c r="CB562" t="s">
        <v>116</v>
      </c>
      <c r="CC562" t="s">
        <v>149</v>
      </c>
      <c r="CD562" t="s">
        <v>118</v>
      </c>
      <c r="CL562">
        <v>4</v>
      </c>
    </row>
    <row r="563" spans="1:90">
      <c r="A563" t="s">
        <v>826</v>
      </c>
      <c r="B563" t="s">
        <v>175</v>
      </c>
      <c r="C563" t="s">
        <v>152</v>
      </c>
      <c r="D563" t="s">
        <v>132</v>
      </c>
      <c r="L563">
        <v>3</v>
      </c>
      <c r="CA563" t="s">
        <v>933</v>
      </c>
      <c r="CB563" t="s">
        <v>116</v>
      </c>
      <c r="CC563" t="s">
        <v>152</v>
      </c>
      <c r="CD563" t="s">
        <v>124</v>
      </c>
      <c r="CF563" t="s">
        <v>370</v>
      </c>
      <c r="CH563" t="s">
        <v>164</v>
      </c>
      <c r="CL563">
        <v>4</v>
      </c>
    </row>
    <row r="564" spans="1:90">
      <c r="A564" t="s">
        <v>827</v>
      </c>
      <c r="B564" t="s">
        <v>175</v>
      </c>
      <c r="C564" t="s">
        <v>149</v>
      </c>
      <c r="D564" t="s">
        <v>124</v>
      </c>
      <c r="L564">
        <v>3</v>
      </c>
      <c r="CA564" t="s">
        <v>934</v>
      </c>
      <c r="CB564" t="s">
        <v>116</v>
      </c>
      <c r="CC564" t="s">
        <v>152</v>
      </c>
      <c r="CD564" t="s">
        <v>118</v>
      </c>
      <c r="CJ564" t="s">
        <v>221</v>
      </c>
      <c r="CL564">
        <v>4</v>
      </c>
    </row>
    <row r="565" spans="1:90">
      <c r="A565" s="33" t="s">
        <v>828</v>
      </c>
      <c r="B565" s="33" t="s">
        <v>172</v>
      </c>
      <c r="C565" s="33" t="s">
        <v>149</v>
      </c>
      <c r="D565" s="33" t="s">
        <v>124</v>
      </c>
      <c r="E565" s="33"/>
      <c r="F565" s="33"/>
      <c r="G565" s="33"/>
      <c r="H565" s="33"/>
      <c r="L565">
        <v>3</v>
      </c>
      <c r="CA565" t="s">
        <v>935</v>
      </c>
      <c r="CB565" t="s">
        <v>151</v>
      </c>
      <c r="CC565" t="s">
        <v>149</v>
      </c>
      <c r="CD565" t="s">
        <v>124</v>
      </c>
      <c r="CF565" t="s">
        <v>163</v>
      </c>
      <c r="CH565" t="s">
        <v>164</v>
      </c>
      <c r="CL565">
        <v>4</v>
      </c>
    </row>
    <row r="566" spans="1:90">
      <c r="A566" s="33" t="s">
        <v>829</v>
      </c>
      <c r="B566" s="33" t="s">
        <v>172</v>
      </c>
      <c r="C566" s="33" t="s">
        <v>149</v>
      </c>
      <c r="D566" s="33" t="s">
        <v>124</v>
      </c>
      <c r="E566" s="33"/>
      <c r="F566" s="33"/>
      <c r="G566" s="33"/>
      <c r="H566" s="33"/>
      <c r="L566">
        <v>3</v>
      </c>
      <c r="CA566" t="s">
        <v>936</v>
      </c>
      <c r="CB566" t="s">
        <v>162</v>
      </c>
      <c r="CC566" t="s">
        <v>152</v>
      </c>
      <c r="CD566" t="s">
        <v>118</v>
      </c>
      <c r="CL566">
        <v>4</v>
      </c>
    </row>
    <row r="567" spans="1:90">
      <c r="A567" t="s">
        <v>830</v>
      </c>
      <c r="B567" t="s">
        <v>175</v>
      </c>
      <c r="C567" t="s">
        <v>152</v>
      </c>
      <c r="D567" t="s">
        <v>143</v>
      </c>
      <c r="L567">
        <v>3</v>
      </c>
      <c r="CA567" t="s">
        <v>937</v>
      </c>
      <c r="CB567" t="s">
        <v>151</v>
      </c>
      <c r="CC567" t="s">
        <v>152</v>
      </c>
      <c r="CD567" t="s">
        <v>118</v>
      </c>
      <c r="CE567" t="s">
        <v>167</v>
      </c>
      <c r="CF567" t="s">
        <v>163</v>
      </c>
      <c r="CH567" t="s">
        <v>164</v>
      </c>
      <c r="CI567" t="s">
        <v>168</v>
      </c>
      <c r="CJ567" t="s">
        <v>168</v>
      </c>
      <c r="CK567" t="s">
        <v>938</v>
      </c>
      <c r="CL567">
        <v>4</v>
      </c>
    </row>
    <row r="568" spans="1:90">
      <c r="A568" t="s">
        <v>831</v>
      </c>
      <c r="B568" t="s">
        <v>116</v>
      </c>
      <c r="C568" t="s">
        <v>120</v>
      </c>
      <c r="D568" t="s">
        <v>118</v>
      </c>
      <c r="L568">
        <v>3</v>
      </c>
      <c r="CA568" t="s">
        <v>939</v>
      </c>
      <c r="CB568" t="s">
        <v>175</v>
      </c>
      <c r="CC568" t="s">
        <v>152</v>
      </c>
      <c r="CD568" t="s">
        <v>143</v>
      </c>
      <c r="CF568" t="s">
        <v>163</v>
      </c>
      <c r="CG568" t="s">
        <v>163</v>
      </c>
      <c r="CH568" t="s">
        <v>164</v>
      </c>
      <c r="CL568">
        <v>4</v>
      </c>
    </row>
    <row r="569" spans="1:90">
      <c r="A569" t="s">
        <v>832</v>
      </c>
      <c r="B569" t="s">
        <v>116</v>
      </c>
      <c r="C569" t="s">
        <v>117</v>
      </c>
      <c r="D569" t="s">
        <v>118</v>
      </c>
      <c r="L569">
        <v>3</v>
      </c>
      <c r="CA569" t="s">
        <v>940</v>
      </c>
      <c r="CB569" t="s">
        <v>175</v>
      </c>
      <c r="CC569" t="s">
        <v>149</v>
      </c>
      <c r="CD569" t="s">
        <v>118</v>
      </c>
      <c r="CL569">
        <v>4</v>
      </c>
    </row>
    <row r="570" spans="1:90">
      <c r="A570" t="s">
        <v>833</v>
      </c>
      <c r="B570" t="s">
        <v>116</v>
      </c>
      <c r="C570" t="s">
        <v>117</v>
      </c>
      <c r="D570" t="s">
        <v>118</v>
      </c>
      <c r="L570">
        <v>3</v>
      </c>
      <c r="CA570" t="s">
        <v>941</v>
      </c>
      <c r="CB570" t="s">
        <v>175</v>
      </c>
      <c r="CC570" t="s">
        <v>152</v>
      </c>
      <c r="CD570" t="s">
        <v>118</v>
      </c>
      <c r="CL570">
        <v>4</v>
      </c>
    </row>
    <row r="571" spans="1:90">
      <c r="A571" t="s">
        <v>834</v>
      </c>
      <c r="B571" t="s">
        <v>116</v>
      </c>
      <c r="C571" t="s">
        <v>117</v>
      </c>
      <c r="D571" t="s">
        <v>118</v>
      </c>
      <c r="L571">
        <v>3</v>
      </c>
      <c r="CA571" t="s">
        <v>942</v>
      </c>
      <c r="CB571" t="s">
        <v>175</v>
      </c>
      <c r="CC571" t="s">
        <v>152</v>
      </c>
      <c r="CD571" t="s">
        <v>124</v>
      </c>
      <c r="CL571">
        <v>4</v>
      </c>
    </row>
    <row r="572" spans="1:90">
      <c r="A572" t="s">
        <v>835</v>
      </c>
      <c r="B572" t="s">
        <v>116</v>
      </c>
      <c r="C572" t="s">
        <v>120</v>
      </c>
      <c r="D572" t="s">
        <v>118</v>
      </c>
      <c r="L572">
        <v>3</v>
      </c>
      <c r="CA572" s="33" t="s">
        <v>943</v>
      </c>
      <c r="CB572" s="33" t="s">
        <v>172</v>
      </c>
      <c r="CC572" s="33" t="s">
        <v>152</v>
      </c>
      <c r="CD572" s="33" t="s">
        <v>118</v>
      </c>
      <c r="CE572" s="33"/>
      <c r="CF572" s="33"/>
      <c r="CG572" s="33"/>
      <c r="CH572" s="33"/>
      <c r="CL572">
        <v>4</v>
      </c>
    </row>
    <row r="573" spans="1:90">
      <c r="A573" t="s">
        <v>836</v>
      </c>
      <c r="B573" t="s">
        <v>116</v>
      </c>
      <c r="C573" t="s">
        <v>149</v>
      </c>
      <c r="D573" t="s">
        <v>118</v>
      </c>
      <c r="F573" t="s">
        <v>370</v>
      </c>
      <c r="H573" t="s">
        <v>164</v>
      </c>
      <c r="L573">
        <v>3</v>
      </c>
      <c r="CA573" t="s">
        <v>944</v>
      </c>
      <c r="CB573" t="s">
        <v>279</v>
      </c>
      <c r="CC573" t="s">
        <v>152</v>
      </c>
      <c r="CD573" t="s">
        <v>118</v>
      </c>
      <c r="CL573">
        <v>4</v>
      </c>
    </row>
    <row r="574" spans="1:90">
      <c r="A574" t="s">
        <v>837</v>
      </c>
      <c r="B574" t="s">
        <v>116</v>
      </c>
      <c r="C574" t="s">
        <v>149</v>
      </c>
      <c r="D574" t="s">
        <v>118</v>
      </c>
      <c r="F574" t="s">
        <v>370</v>
      </c>
      <c r="H574" t="s">
        <v>164</v>
      </c>
      <c r="L574">
        <v>3</v>
      </c>
      <c r="CA574" t="s">
        <v>945</v>
      </c>
      <c r="CB574" t="s">
        <v>175</v>
      </c>
      <c r="CC574" t="s">
        <v>152</v>
      </c>
      <c r="CD574" t="s">
        <v>132</v>
      </c>
      <c r="CF574" t="s">
        <v>163</v>
      </c>
      <c r="CH574" t="s">
        <v>164</v>
      </c>
      <c r="CL574">
        <v>4</v>
      </c>
    </row>
    <row r="575" spans="1:90">
      <c r="A575" t="s">
        <v>838</v>
      </c>
      <c r="B575" t="s">
        <v>116</v>
      </c>
      <c r="C575" t="s">
        <v>149</v>
      </c>
      <c r="D575" t="s">
        <v>118</v>
      </c>
      <c r="L575">
        <v>3</v>
      </c>
      <c r="CA575" t="s">
        <v>946</v>
      </c>
      <c r="CB575" t="s">
        <v>215</v>
      </c>
      <c r="CC575" t="s">
        <v>216</v>
      </c>
      <c r="CD575" t="s">
        <v>132</v>
      </c>
      <c r="CL575">
        <v>4</v>
      </c>
    </row>
    <row r="576" spans="1:90">
      <c r="A576" t="s">
        <v>839</v>
      </c>
      <c r="B576" t="s">
        <v>151</v>
      </c>
      <c r="C576" t="s">
        <v>152</v>
      </c>
      <c r="D576" t="s">
        <v>118</v>
      </c>
      <c r="E576" t="s">
        <v>167</v>
      </c>
      <c r="F576" t="s">
        <v>163</v>
      </c>
      <c r="H576" t="s">
        <v>164</v>
      </c>
      <c r="J576" t="s">
        <v>221</v>
      </c>
      <c r="K576" t="s">
        <v>840</v>
      </c>
      <c r="L576">
        <v>3</v>
      </c>
      <c r="CA576" t="s">
        <v>947</v>
      </c>
      <c r="CB576" t="s">
        <v>116</v>
      </c>
      <c r="CC576" t="s">
        <v>117</v>
      </c>
      <c r="CD576" t="s">
        <v>132</v>
      </c>
      <c r="CF576" t="s">
        <v>273</v>
      </c>
      <c r="CH576" t="s">
        <v>164</v>
      </c>
      <c r="CL576">
        <v>4</v>
      </c>
    </row>
    <row r="577" spans="1:90">
      <c r="A577" t="s">
        <v>841</v>
      </c>
      <c r="B577" t="s">
        <v>151</v>
      </c>
      <c r="C577" t="s">
        <v>152</v>
      </c>
      <c r="D577" t="s">
        <v>124</v>
      </c>
      <c r="E577" t="s">
        <v>295</v>
      </c>
      <c r="I577" t="s">
        <v>186</v>
      </c>
      <c r="J577" t="s">
        <v>186</v>
      </c>
      <c r="K577" t="s">
        <v>842</v>
      </c>
      <c r="L577">
        <v>3</v>
      </c>
      <c r="CA577" t="s">
        <v>948</v>
      </c>
      <c r="CB577" t="s">
        <v>116</v>
      </c>
      <c r="CC577" t="s">
        <v>149</v>
      </c>
      <c r="CD577" t="s">
        <v>118</v>
      </c>
      <c r="CF577" t="s">
        <v>370</v>
      </c>
      <c r="CH577" t="s">
        <v>164</v>
      </c>
      <c r="CL577">
        <v>4</v>
      </c>
    </row>
    <row r="578" spans="1:90">
      <c r="A578" t="s">
        <v>843</v>
      </c>
      <c r="B578" t="s">
        <v>162</v>
      </c>
      <c r="C578" t="s">
        <v>152</v>
      </c>
      <c r="D578" t="s">
        <v>124</v>
      </c>
      <c r="F578" t="s">
        <v>163</v>
      </c>
      <c r="H578" t="s">
        <v>164</v>
      </c>
      <c r="L578">
        <v>3</v>
      </c>
      <c r="CA578" t="s">
        <v>949</v>
      </c>
      <c r="CB578" t="s">
        <v>151</v>
      </c>
      <c r="CC578" t="s">
        <v>149</v>
      </c>
      <c r="CD578" t="s">
        <v>118</v>
      </c>
      <c r="CE578" t="s">
        <v>167</v>
      </c>
      <c r="CI578" t="s">
        <v>156</v>
      </c>
      <c r="CJ578" t="s">
        <v>156</v>
      </c>
      <c r="CK578" t="s">
        <v>192</v>
      </c>
      <c r="CL578">
        <v>4</v>
      </c>
    </row>
    <row r="579" spans="1:90">
      <c r="A579" t="s">
        <v>844</v>
      </c>
      <c r="B579" t="s">
        <v>151</v>
      </c>
      <c r="C579" t="s">
        <v>149</v>
      </c>
      <c r="D579" t="s">
        <v>118</v>
      </c>
      <c r="E579" t="s">
        <v>153</v>
      </c>
      <c r="I579" t="s">
        <v>156</v>
      </c>
      <c r="J579" t="s">
        <v>156</v>
      </c>
      <c r="K579" t="s">
        <v>207</v>
      </c>
      <c r="L579">
        <v>3</v>
      </c>
      <c r="CA579" t="s">
        <v>950</v>
      </c>
      <c r="CB579" t="s">
        <v>151</v>
      </c>
      <c r="CC579" t="s">
        <v>152</v>
      </c>
      <c r="CD579" t="s">
        <v>118</v>
      </c>
      <c r="CF579" t="s">
        <v>163</v>
      </c>
      <c r="CH579" t="s">
        <v>164</v>
      </c>
      <c r="CL579">
        <v>4</v>
      </c>
    </row>
    <row r="580" spans="1:90">
      <c r="A580" t="s">
        <v>845</v>
      </c>
      <c r="B580" t="s">
        <v>175</v>
      </c>
      <c r="C580" t="s">
        <v>152</v>
      </c>
      <c r="D580" t="s">
        <v>124</v>
      </c>
      <c r="L580">
        <v>3</v>
      </c>
      <c r="CA580" t="s">
        <v>954</v>
      </c>
      <c r="CB580" t="s">
        <v>160</v>
      </c>
      <c r="CC580" t="s">
        <v>117</v>
      </c>
      <c r="CD580" t="s">
        <v>118</v>
      </c>
      <c r="CF580" t="s">
        <v>163</v>
      </c>
      <c r="CH580" t="s">
        <v>164</v>
      </c>
      <c r="CL580">
        <v>4</v>
      </c>
    </row>
    <row r="581" spans="1:90">
      <c r="A581" t="s">
        <v>846</v>
      </c>
      <c r="B581" t="s">
        <v>175</v>
      </c>
      <c r="C581" t="s">
        <v>152</v>
      </c>
      <c r="D581" t="s">
        <v>132</v>
      </c>
      <c r="L581">
        <v>3</v>
      </c>
      <c r="CA581" t="s">
        <v>955</v>
      </c>
      <c r="CB581" t="s">
        <v>162</v>
      </c>
      <c r="CC581" t="s">
        <v>152</v>
      </c>
      <c r="CD581" t="s">
        <v>118</v>
      </c>
      <c r="CF581" t="s">
        <v>163</v>
      </c>
      <c r="CH581" t="s">
        <v>164</v>
      </c>
      <c r="CL581">
        <v>4</v>
      </c>
    </row>
    <row r="582" spans="1:90">
      <c r="A582" t="s">
        <v>847</v>
      </c>
      <c r="B582" t="s">
        <v>175</v>
      </c>
      <c r="C582" t="s">
        <v>152</v>
      </c>
      <c r="D582" t="s">
        <v>124</v>
      </c>
      <c r="F582" t="s">
        <v>163</v>
      </c>
      <c r="G582" t="s">
        <v>273</v>
      </c>
      <c r="H582" t="s">
        <v>164</v>
      </c>
      <c r="L582">
        <v>3</v>
      </c>
      <c r="CA582" t="s">
        <v>956</v>
      </c>
      <c r="CB582" t="s">
        <v>151</v>
      </c>
      <c r="CC582" t="s">
        <v>152</v>
      </c>
      <c r="CD582" t="s">
        <v>132</v>
      </c>
      <c r="CE582" t="s">
        <v>167</v>
      </c>
      <c r="CI582" t="s">
        <v>221</v>
      </c>
      <c r="CJ582" t="s">
        <v>189</v>
      </c>
      <c r="CK582" t="s">
        <v>957</v>
      </c>
      <c r="CL582">
        <v>4</v>
      </c>
    </row>
    <row r="583" spans="1:90">
      <c r="A583" t="s">
        <v>848</v>
      </c>
      <c r="B583" t="s">
        <v>175</v>
      </c>
      <c r="C583" t="s">
        <v>149</v>
      </c>
      <c r="D583" t="s">
        <v>118</v>
      </c>
      <c r="L583">
        <v>3</v>
      </c>
      <c r="CA583" t="s">
        <v>958</v>
      </c>
      <c r="CB583" t="s">
        <v>175</v>
      </c>
      <c r="CC583" t="s">
        <v>152</v>
      </c>
      <c r="CD583" t="s">
        <v>118</v>
      </c>
      <c r="CF583" t="s">
        <v>163</v>
      </c>
      <c r="CG583" t="s">
        <v>163</v>
      </c>
      <c r="CH583" t="s">
        <v>164</v>
      </c>
      <c r="CL583">
        <v>4</v>
      </c>
    </row>
    <row r="584" spans="1:90">
      <c r="A584" t="s">
        <v>849</v>
      </c>
      <c r="B584" t="s">
        <v>175</v>
      </c>
      <c r="C584" t="s">
        <v>277</v>
      </c>
      <c r="D584" t="s">
        <v>132</v>
      </c>
      <c r="E584" t="s">
        <v>167</v>
      </c>
      <c r="I584" t="s">
        <v>186</v>
      </c>
      <c r="J584" t="s">
        <v>186</v>
      </c>
      <c r="K584" t="s">
        <v>850</v>
      </c>
      <c r="L584">
        <v>3</v>
      </c>
      <c r="CA584" t="s">
        <v>959</v>
      </c>
      <c r="CB584" t="s">
        <v>175</v>
      </c>
      <c r="CC584" t="s">
        <v>152</v>
      </c>
      <c r="CD584" t="s">
        <v>124</v>
      </c>
      <c r="CF584" t="s">
        <v>163</v>
      </c>
      <c r="CH584" t="s">
        <v>164</v>
      </c>
      <c r="CL584">
        <v>4</v>
      </c>
    </row>
    <row r="585" spans="1:90">
      <c r="A585" t="s">
        <v>851</v>
      </c>
      <c r="B585" t="s">
        <v>175</v>
      </c>
      <c r="C585" t="s">
        <v>852</v>
      </c>
      <c r="D585" t="s">
        <v>118</v>
      </c>
      <c r="L585">
        <v>3</v>
      </c>
      <c r="CA585" s="33" t="s">
        <v>960</v>
      </c>
      <c r="CB585" s="33" t="s">
        <v>172</v>
      </c>
      <c r="CC585" s="33" t="s">
        <v>216</v>
      </c>
      <c r="CD585" s="33" t="s">
        <v>124</v>
      </c>
      <c r="CE585" s="33"/>
      <c r="CF585" s="33"/>
      <c r="CG585" s="33"/>
      <c r="CH585" s="33"/>
      <c r="CL585">
        <v>4</v>
      </c>
    </row>
    <row r="586" spans="1:90">
      <c r="A586" s="33" t="s">
        <v>853</v>
      </c>
      <c r="B586" s="33" t="s">
        <v>172</v>
      </c>
      <c r="C586" s="33" t="s">
        <v>149</v>
      </c>
      <c r="D586" s="33" t="s">
        <v>132</v>
      </c>
      <c r="E586" s="33" t="s">
        <v>167</v>
      </c>
      <c r="F586" s="33" t="s">
        <v>370</v>
      </c>
      <c r="G586" s="33"/>
      <c r="H586" s="33" t="s">
        <v>164</v>
      </c>
      <c r="I586" t="s">
        <v>168</v>
      </c>
      <c r="J586" t="s">
        <v>168</v>
      </c>
      <c r="K586" t="s">
        <v>854</v>
      </c>
      <c r="L586">
        <v>3</v>
      </c>
      <c r="CA586" t="s">
        <v>961</v>
      </c>
      <c r="CB586" t="s">
        <v>279</v>
      </c>
      <c r="CC586" t="s">
        <v>149</v>
      </c>
      <c r="CD586" t="s">
        <v>118</v>
      </c>
      <c r="CL586">
        <v>4</v>
      </c>
    </row>
    <row r="587" spans="1:90">
      <c r="A587" s="33" t="s">
        <v>855</v>
      </c>
      <c r="B587" s="33" t="s">
        <v>172</v>
      </c>
      <c r="C587" s="33" t="s">
        <v>152</v>
      </c>
      <c r="D587" s="33" t="s">
        <v>124</v>
      </c>
      <c r="E587" s="33"/>
      <c r="F587" s="33"/>
      <c r="G587" s="33"/>
      <c r="H587" s="33"/>
      <c r="L587">
        <v>3</v>
      </c>
      <c r="CA587" t="s">
        <v>962</v>
      </c>
      <c r="CB587" t="s">
        <v>279</v>
      </c>
      <c r="CC587" t="s">
        <v>152</v>
      </c>
      <c r="CD587" t="s">
        <v>118</v>
      </c>
      <c r="CL587">
        <v>4</v>
      </c>
    </row>
    <row r="588" spans="1:90">
      <c r="A588" s="33" t="s">
        <v>856</v>
      </c>
      <c r="B588" s="33" t="s">
        <v>172</v>
      </c>
      <c r="C588" s="33" t="s">
        <v>149</v>
      </c>
      <c r="D588" s="33" t="s">
        <v>124</v>
      </c>
      <c r="E588" s="33"/>
      <c r="F588" s="33"/>
      <c r="G588" s="33"/>
      <c r="H588" s="33"/>
      <c r="L588">
        <v>3</v>
      </c>
      <c r="CA588" t="s">
        <v>963</v>
      </c>
      <c r="CB588" t="s">
        <v>279</v>
      </c>
      <c r="CC588" t="s">
        <v>149</v>
      </c>
      <c r="CD588" t="s">
        <v>118</v>
      </c>
      <c r="CL588">
        <v>4</v>
      </c>
    </row>
    <row r="589" spans="1:90">
      <c r="A589" t="s">
        <v>857</v>
      </c>
      <c r="B589" t="s">
        <v>279</v>
      </c>
      <c r="C589" t="s">
        <v>152</v>
      </c>
      <c r="D589" t="s">
        <v>124</v>
      </c>
      <c r="L589">
        <v>3</v>
      </c>
      <c r="CA589" t="s">
        <v>964</v>
      </c>
      <c r="CB589" t="s">
        <v>175</v>
      </c>
      <c r="CC589" t="s">
        <v>152</v>
      </c>
      <c r="CD589" t="s">
        <v>124</v>
      </c>
      <c r="CF589" t="s">
        <v>370</v>
      </c>
      <c r="CH589" t="s">
        <v>164</v>
      </c>
      <c r="CL589">
        <v>4</v>
      </c>
    </row>
    <row r="590" spans="1:90">
      <c r="A590" t="s">
        <v>858</v>
      </c>
      <c r="B590" t="s">
        <v>279</v>
      </c>
      <c r="C590" t="s">
        <v>152</v>
      </c>
      <c r="D590" t="s">
        <v>124</v>
      </c>
      <c r="L590">
        <v>3</v>
      </c>
      <c r="CA590" t="s">
        <v>965</v>
      </c>
      <c r="CB590" t="s">
        <v>175</v>
      </c>
      <c r="CC590" t="s">
        <v>149</v>
      </c>
      <c r="CD590" t="s">
        <v>124</v>
      </c>
      <c r="CL590">
        <v>4</v>
      </c>
    </row>
    <row r="591" spans="1:90">
      <c r="A591" t="s">
        <v>859</v>
      </c>
      <c r="B591" t="s">
        <v>279</v>
      </c>
      <c r="C591" t="s">
        <v>149</v>
      </c>
      <c r="D591" t="s">
        <v>124</v>
      </c>
      <c r="L591">
        <v>3</v>
      </c>
      <c r="CA591" t="s">
        <v>966</v>
      </c>
      <c r="CB591" t="s">
        <v>175</v>
      </c>
      <c r="CC591" t="s">
        <v>149</v>
      </c>
      <c r="CD591" t="s">
        <v>118</v>
      </c>
      <c r="CL591">
        <v>4</v>
      </c>
    </row>
    <row r="592" spans="1:90">
      <c r="A592" t="s">
        <v>860</v>
      </c>
      <c r="B592" t="s">
        <v>279</v>
      </c>
      <c r="C592" t="s">
        <v>152</v>
      </c>
      <c r="D592" t="s">
        <v>118</v>
      </c>
      <c r="L592">
        <v>3</v>
      </c>
      <c r="CA592" t="s">
        <v>967</v>
      </c>
      <c r="CB592" t="s">
        <v>116</v>
      </c>
      <c r="CC592" t="s">
        <v>152</v>
      </c>
      <c r="CD592" t="s">
        <v>124</v>
      </c>
      <c r="CF592" t="s">
        <v>370</v>
      </c>
      <c r="CH592" t="s">
        <v>164</v>
      </c>
      <c r="CL592">
        <v>4</v>
      </c>
    </row>
    <row r="593" spans="1:90">
      <c r="A593" t="s">
        <v>861</v>
      </c>
      <c r="B593" t="s">
        <v>279</v>
      </c>
      <c r="C593" t="s">
        <v>149</v>
      </c>
      <c r="D593" t="s">
        <v>124</v>
      </c>
      <c r="L593">
        <v>3</v>
      </c>
      <c r="CA593" t="s">
        <v>968</v>
      </c>
      <c r="CB593" t="s">
        <v>116</v>
      </c>
      <c r="CC593" t="s">
        <v>120</v>
      </c>
      <c r="CD593" t="s">
        <v>118</v>
      </c>
      <c r="CL593">
        <v>4</v>
      </c>
    </row>
    <row r="594" spans="1:90">
      <c r="A594" t="s">
        <v>862</v>
      </c>
      <c r="B594" t="s">
        <v>279</v>
      </c>
      <c r="C594" t="s">
        <v>149</v>
      </c>
      <c r="D594" t="s">
        <v>118</v>
      </c>
      <c r="L594">
        <v>3</v>
      </c>
      <c r="CA594" t="s">
        <v>969</v>
      </c>
      <c r="CB594" t="s">
        <v>116</v>
      </c>
      <c r="CC594" t="s">
        <v>120</v>
      </c>
      <c r="CD594" t="s">
        <v>118</v>
      </c>
      <c r="CL594">
        <v>4</v>
      </c>
    </row>
    <row r="595" spans="1:90">
      <c r="A595" t="s">
        <v>863</v>
      </c>
      <c r="B595" t="s">
        <v>215</v>
      </c>
      <c r="C595" t="s">
        <v>149</v>
      </c>
      <c r="D595" t="s">
        <v>124</v>
      </c>
      <c r="L595">
        <v>3</v>
      </c>
      <c r="CA595" t="s">
        <v>970</v>
      </c>
      <c r="CB595" t="s">
        <v>116</v>
      </c>
      <c r="CC595" t="s">
        <v>216</v>
      </c>
      <c r="CD595" t="s">
        <v>118</v>
      </c>
      <c r="CL595">
        <v>4</v>
      </c>
    </row>
    <row r="596" spans="1:90">
      <c r="A596" t="s">
        <v>864</v>
      </c>
      <c r="B596" t="s">
        <v>215</v>
      </c>
      <c r="C596" t="s">
        <v>216</v>
      </c>
      <c r="D596" t="s">
        <v>124</v>
      </c>
      <c r="L596">
        <v>3</v>
      </c>
      <c r="CA596" t="s">
        <v>971</v>
      </c>
      <c r="CB596" t="s">
        <v>160</v>
      </c>
      <c r="CC596" t="s">
        <v>120</v>
      </c>
      <c r="CD596" t="s">
        <v>118</v>
      </c>
      <c r="CL596">
        <v>4</v>
      </c>
    </row>
    <row r="597" spans="1:90">
      <c r="A597" t="s">
        <v>865</v>
      </c>
      <c r="B597" t="s">
        <v>175</v>
      </c>
      <c r="C597" t="s">
        <v>149</v>
      </c>
      <c r="D597" t="s">
        <v>124</v>
      </c>
      <c r="L597">
        <v>3</v>
      </c>
      <c r="CA597" t="s">
        <v>972</v>
      </c>
      <c r="CB597" t="s">
        <v>151</v>
      </c>
      <c r="CC597" t="s">
        <v>152</v>
      </c>
      <c r="CD597" t="s">
        <v>118</v>
      </c>
      <c r="CL597">
        <v>4</v>
      </c>
    </row>
    <row r="598" spans="1:90">
      <c r="A598" t="s">
        <v>866</v>
      </c>
      <c r="B598" t="s">
        <v>175</v>
      </c>
      <c r="C598" t="s">
        <v>149</v>
      </c>
      <c r="D598" t="s">
        <v>124</v>
      </c>
      <c r="L598">
        <v>3</v>
      </c>
      <c r="CA598" t="s">
        <v>973</v>
      </c>
      <c r="CB598" t="s">
        <v>175</v>
      </c>
      <c r="CC598" t="s">
        <v>152</v>
      </c>
      <c r="CD598" t="s">
        <v>118</v>
      </c>
      <c r="CF598" t="s">
        <v>163</v>
      </c>
      <c r="CH598" t="s">
        <v>164</v>
      </c>
      <c r="CL598">
        <v>4</v>
      </c>
    </row>
    <row r="599" spans="1:90">
      <c r="A599" t="s">
        <v>867</v>
      </c>
      <c r="B599" t="s">
        <v>151</v>
      </c>
      <c r="C599" t="s">
        <v>152</v>
      </c>
      <c r="D599" t="s">
        <v>124</v>
      </c>
      <c r="E599" t="s">
        <v>295</v>
      </c>
      <c r="I599" t="s">
        <v>186</v>
      </c>
      <c r="J599" t="s">
        <v>189</v>
      </c>
      <c r="K599" t="s">
        <v>868</v>
      </c>
      <c r="L599">
        <v>3</v>
      </c>
      <c r="CA599" t="s">
        <v>974</v>
      </c>
      <c r="CB599" t="s">
        <v>175</v>
      </c>
      <c r="CC599" t="s">
        <v>152</v>
      </c>
      <c r="CD599" t="s">
        <v>124</v>
      </c>
      <c r="CF599" t="s">
        <v>163</v>
      </c>
      <c r="CH599" t="s">
        <v>164</v>
      </c>
      <c r="CL599">
        <v>4</v>
      </c>
    </row>
    <row r="600" spans="1:90">
      <c r="A600" t="s">
        <v>869</v>
      </c>
      <c r="B600" t="s">
        <v>175</v>
      </c>
      <c r="C600" t="s">
        <v>152</v>
      </c>
      <c r="D600" t="s">
        <v>132</v>
      </c>
      <c r="E600" t="s">
        <v>295</v>
      </c>
      <c r="I600" t="s">
        <v>186</v>
      </c>
      <c r="J600" t="s">
        <v>181</v>
      </c>
      <c r="K600" t="s">
        <v>870</v>
      </c>
      <c r="L600">
        <v>3</v>
      </c>
      <c r="CA600" s="33" t="s">
        <v>975</v>
      </c>
      <c r="CB600" s="33" t="s">
        <v>172</v>
      </c>
      <c r="CC600" s="33" t="s">
        <v>216</v>
      </c>
      <c r="CD600" s="33" t="s">
        <v>143</v>
      </c>
      <c r="CE600" s="33"/>
      <c r="CF600" s="33"/>
      <c r="CG600" s="33"/>
      <c r="CH600" s="33"/>
      <c r="CL600">
        <v>4</v>
      </c>
    </row>
    <row r="601" spans="1:90">
      <c r="A601" s="33" t="s">
        <v>871</v>
      </c>
      <c r="B601" s="33" t="s">
        <v>172</v>
      </c>
      <c r="C601" s="33" t="s">
        <v>149</v>
      </c>
      <c r="D601" s="33" t="s">
        <v>132</v>
      </c>
      <c r="E601" s="33"/>
      <c r="F601" s="33"/>
      <c r="G601" s="33"/>
      <c r="H601" s="33"/>
      <c r="L601">
        <v>3</v>
      </c>
      <c r="CA601" s="33" t="s">
        <v>976</v>
      </c>
      <c r="CB601" s="33" t="s">
        <v>172</v>
      </c>
      <c r="CC601" s="33" t="s">
        <v>277</v>
      </c>
      <c r="CD601" s="33" t="s">
        <v>124</v>
      </c>
      <c r="CE601" s="33"/>
      <c r="CF601" s="33" t="s">
        <v>163</v>
      </c>
      <c r="CG601" s="33"/>
      <c r="CH601" s="33" t="s">
        <v>164</v>
      </c>
      <c r="CL601">
        <v>4</v>
      </c>
    </row>
    <row r="602" spans="1:90">
      <c r="A602" t="s">
        <v>872</v>
      </c>
      <c r="B602" t="s">
        <v>175</v>
      </c>
      <c r="C602" t="s">
        <v>149</v>
      </c>
      <c r="D602" t="s">
        <v>132</v>
      </c>
      <c r="L602">
        <v>3</v>
      </c>
      <c r="CA602" s="33" t="s">
        <v>977</v>
      </c>
      <c r="CB602" s="33" t="s">
        <v>172</v>
      </c>
      <c r="CC602" s="33" t="s">
        <v>152</v>
      </c>
      <c r="CD602" s="33" t="s">
        <v>124</v>
      </c>
      <c r="CE602" s="33"/>
      <c r="CF602" s="33"/>
      <c r="CG602" s="33"/>
      <c r="CH602" s="33"/>
      <c r="CL602">
        <v>4</v>
      </c>
    </row>
    <row r="603" spans="1:90">
      <c r="A603" t="s">
        <v>873</v>
      </c>
      <c r="B603" t="s">
        <v>116</v>
      </c>
      <c r="C603" t="s">
        <v>152</v>
      </c>
      <c r="D603" t="s">
        <v>118</v>
      </c>
      <c r="F603" t="s">
        <v>370</v>
      </c>
      <c r="H603" t="s">
        <v>164</v>
      </c>
      <c r="L603">
        <v>3</v>
      </c>
      <c r="CA603" s="33" t="s">
        <v>978</v>
      </c>
      <c r="CB603" s="33" t="s">
        <v>172</v>
      </c>
      <c r="CC603" s="33" t="s">
        <v>216</v>
      </c>
      <c r="CD603" s="33" t="s">
        <v>124</v>
      </c>
      <c r="CE603" s="33"/>
      <c r="CF603" s="33"/>
      <c r="CG603" s="33"/>
      <c r="CH603" s="33"/>
      <c r="CL603">
        <v>4</v>
      </c>
    </row>
    <row r="604" spans="1:90">
      <c r="A604" t="s">
        <v>874</v>
      </c>
      <c r="B604" t="s">
        <v>116</v>
      </c>
      <c r="C604" t="s">
        <v>149</v>
      </c>
      <c r="D604" t="s">
        <v>118</v>
      </c>
      <c r="F604" t="s">
        <v>370</v>
      </c>
      <c r="H604" t="s">
        <v>164</v>
      </c>
      <c r="L604">
        <v>3</v>
      </c>
      <c r="CA604" s="33" t="s">
        <v>979</v>
      </c>
      <c r="CB604" s="33" t="s">
        <v>172</v>
      </c>
      <c r="CC604" s="33" t="s">
        <v>149</v>
      </c>
      <c r="CD604" s="33" t="s">
        <v>138</v>
      </c>
      <c r="CE604" s="33"/>
      <c r="CF604" s="33"/>
      <c r="CG604" s="33"/>
      <c r="CH604" s="33"/>
      <c r="CL604">
        <v>4</v>
      </c>
    </row>
    <row r="605" spans="1:90">
      <c r="A605" t="s">
        <v>875</v>
      </c>
      <c r="B605" t="s">
        <v>116</v>
      </c>
      <c r="C605" t="s">
        <v>152</v>
      </c>
      <c r="D605" t="s">
        <v>118</v>
      </c>
      <c r="F605" t="s">
        <v>370</v>
      </c>
      <c r="H605" t="s">
        <v>164</v>
      </c>
      <c r="L605">
        <v>3</v>
      </c>
      <c r="CA605" s="33" t="s">
        <v>980</v>
      </c>
      <c r="CB605" s="33" t="s">
        <v>172</v>
      </c>
      <c r="CC605" s="33" t="s">
        <v>152</v>
      </c>
      <c r="CD605" s="33" t="s">
        <v>118</v>
      </c>
      <c r="CE605" s="33"/>
      <c r="CF605" s="33"/>
      <c r="CG605" s="33"/>
      <c r="CH605" s="33"/>
      <c r="CL605">
        <v>4</v>
      </c>
    </row>
    <row r="606" spans="1:90">
      <c r="A606" t="s">
        <v>876</v>
      </c>
      <c r="B606" t="s">
        <v>116</v>
      </c>
      <c r="C606" t="s">
        <v>152</v>
      </c>
      <c r="D606" t="s">
        <v>118</v>
      </c>
      <c r="F606" t="s">
        <v>370</v>
      </c>
      <c r="H606" t="s">
        <v>164</v>
      </c>
      <c r="L606">
        <v>3</v>
      </c>
      <c r="CA606" t="s">
        <v>981</v>
      </c>
      <c r="CB606" t="s">
        <v>279</v>
      </c>
      <c r="CC606" t="s">
        <v>216</v>
      </c>
      <c r="CD606" t="s">
        <v>124</v>
      </c>
      <c r="CL606">
        <v>4</v>
      </c>
    </row>
    <row r="607" spans="1:90">
      <c r="A607" t="s">
        <v>877</v>
      </c>
      <c r="B607" t="s">
        <v>116</v>
      </c>
      <c r="C607" t="s">
        <v>152</v>
      </c>
      <c r="D607" t="s">
        <v>118</v>
      </c>
      <c r="F607" t="s">
        <v>370</v>
      </c>
      <c r="H607" t="s">
        <v>164</v>
      </c>
      <c r="L607">
        <v>3</v>
      </c>
      <c r="CA607" s="33" t="s">
        <v>982</v>
      </c>
      <c r="CB607" s="33" t="s">
        <v>215</v>
      </c>
      <c r="CC607" t="s">
        <v>149</v>
      </c>
      <c r="CD607" t="s">
        <v>118</v>
      </c>
      <c r="CF607" s="33" t="s">
        <v>745</v>
      </c>
      <c r="CG607" s="33"/>
      <c r="CH607" t="s">
        <v>164</v>
      </c>
      <c r="CL607">
        <v>4</v>
      </c>
    </row>
    <row r="608" spans="1:90">
      <c r="A608" t="s">
        <v>878</v>
      </c>
      <c r="B608" t="s">
        <v>116</v>
      </c>
      <c r="C608" t="s">
        <v>149</v>
      </c>
      <c r="D608" t="s">
        <v>118</v>
      </c>
      <c r="F608" t="s">
        <v>370</v>
      </c>
      <c r="H608" t="s">
        <v>164</v>
      </c>
      <c r="J608" t="s">
        <v>189</v>
      </c>
      <c r="K608" t="s">
        <v>879</v>
      </c>
      <c r="L608">
        <v>3</v>
      </c>
      <c r="CA608" t="s">
        <v>983</v>
      </c>
      <c r="CB608" t="s">
        <v>215</v>
      </c>
      <c r="CC608" t="s">
        <v>852</v>
      </c>
      <c r="CD608" t="s">
        <v>132</v>
      </c>
      <c r="CL608">
        <v>4</v>
      </c>
    </row>
    <row r="609" spans="1:90">
      <c r="A609" t="s">
        <v>880</v>
      </c>
      <c r="B609" t="s">
        <v>151</v>
      </c>
      <c r="C609" t="s">
        <v>152</v>
      </c>
      <c r="D609" t="s">
        <v>124</v>
      </c>
      <c r="E609" t="s">
        <v>167</v>
      </c>
      <c r="J609" t="s">
        <v>221</v>
      </c>
      <c r="K609" t="s">
        <v>222</v>
      </c>
      <c r="L609">
        <v>3</v>
      </c>
      <c r="CA609" t="s">
        <v>984</v>
      </c>
      <c r="CB609" t="s">
        <v>175</v>
      </c>
      <c r="CC609" t="s">
        <v>152</v>
      </c>
      <c r="CD609" t="s">
        <v>118</v>
      </c>
      <c r="CF609" t="s">
        <v>163</v>
      </c>
      <c r="CH609" t="s">
        <v>164</v>
      </c>
      <c r="CL609">
        <v>4</v>
      </c>
    </row>
    <row r="610" spans="1:90">
      <c r="A610" t="s">
        <v>881</v>
      </c>
      <c r="B610" t="s">
        <v>151</v>
      </c>
      <c r="C610" t="s">
        <v>149</v>
      </c>
      <c r="D610" t="s">
        <v>124</v>
      </c>
      <c r="E610" t="s">
        <v>167</v>
      </c>
      <c r="F610" t="s">
        <v>163</v>
      </c>
      <c r="H610" t="s">
        <v>164</v>
      </c>
      <c r="J610" t="s">
        <v>168</v>
      </c>
      <c r="K610" t="s">
        <v>882</v>
      </c>
      <c r="L610">
        <v>3</v>
      </c>
      <c r="CA610" t="s">
        <v>985</v>
      </c>
      <c r="CB610" t="s">
        <v>175</v>
      </c>
      <c r="CC610" t="s">
        <v>149</v>
      </c>
      <c r="CD610" t="s">
        <v>124</v>
      </c>
      <c r="CF610" t="s">
        <v>163</v>
      </c>
      <c r="CH610" t="s">
        <v>164</v>
      </c>
      <c r="CL610">
        <v>4</v>
      </c>
    </row>
    <row r="611" spans="1:90">
      <c r="A611" t="s">
        <v>883</v>
      </c>
      <c r="B611" t="s">
        <v>162</v>
      </c>
      <c r="C611" t="s">
        <v>277</v>
      </c>
      <c r="D611" t="s">
        <v>124</v>
      </c>
      <c r="L611">
        <v>3</v>
      </c>
      <c r="CA611" t="s">
        <v>986</v>
      </c>
      <c r="CB611" t="s">
        <v>116</v>
      </c>
      <c r="CC611" t="s">
        <v>117</v>
      </c>
      <c r="CD611" t="s">
        <v>118</v>
      </c>
      <c r="CL611">
        <v>4</v>
      </c>
    </row>
    <row r="612" spans="1:90">
      <c r="A612" t="s">
        <v>884</v>
      </c>
      <c r="B612" t="s">
        <v>175</v>
      </c>
      <c r="C612" t="s">
        <v>152</v>
      </c>
      <c r="D612" t="s">
        <v>118</v>
      </c>
      <c r="F612" t="s">
        <v>163</v>
      </c>
      <c r="G612" t="s">
        <v>273</v>
      </c>
      <c r="H612" t="s">
        <v>164</v>
      </c>
      <c r="L612">
        <v>3</v>
      </c>
      <c r="CA612" t="s">
        <v>987</v>
      </c>
      <c r="CB612" t="s">
        <v>175</v>
      </c>
      <c r="CC612" t="s">
        <v>152</v>
      </c>
      <c r="CD612" t="s">
        <v>145</v>
      </c>
      <c r="CL612">
        <v>4</v>
      </c>
    </row>
    <row r="613" spans="1:90">
      <c r="A613" t="s">
        <v>885</v>
      </c>
      <c r="B613" t="s">
        <v>175</v>
      </c>
      <c r="C613" t="s">
        <v>152</v>
      </c>
      <c r="D613" t="s">
        <v>118</v>
      </c>
      <c r="L613">
        <v>3</v>
      </c>
      <c r="CA613" t="s">
        <v>988</v>
      </c>
      <c r="CB613" t="s">
        <v>116</v>
      </c>
      <c r="CC613" t="s">
        <v>120</v>
      </c>
      <c r="CD613" t="s">
        <v>118</v>
      </c>
      <c r="CL613">
        <v>5</v>
      </c>
    </row>
    <row r="614" spans="1:90">
      <c r="A614" s="33" t="s">
        <v>886</v>
      </c>
      <c r="B614" s="33" t="s">
        <v>172</v>
      </c>
      <c r="C614" s="33" t="s">
        <v>152</v>
      </c>
      <c r="D614" s="33" t="s">
        <v>118</v>
      </c>
      <c r="E614" s="33"/>
      <c r="F614" s="33"/>
      <c r="G614" s="33"/>
      <c r="H614" s="33"/>
      <c r="L614">
        <v>3</v>
      </c>
      <c r="CA614" t="s">
        <v>989</v>
      </c>
      <c r="CB614" t="s">
        <v>116</v>
      </c>
      <c r="CC614" t="s">
        <v>117</v>
      </c>
      <c r="CD614" t="s">
        <v>118</v>
      </c>
      <c r="CL614">
        <v>5</v>
      </c>
    </row>
    <row r="615" spans="1:90">
      <c r="A615" s="33" t="s">
        <v>887</v>
      </c>
      <c r="B615" s="33" t="s">
        <v>172</v>
      </c>
      <c r="C615" s="33" t="s">
        <v>149</v>
      </c>
      <c r="D615" s="33" t="s">
        <v>124</v>
      </c>
      <c r="E615" s="33"/>
      <c r="F615" s="33"/>
      <c r="G615" s="33"/>
      <c r="H615" s="33"/>
      <c r="L615">
        <v>3</v>
      </c>
      <c r="CA615" t="s">
        <v>990</v>
      </c>
      <c r="CB615" t="s">
        <v>160</v>
      </c>
      <c r="CC615" t="s">
        <v>120</v>
      </c>
      <c r="CD615" t="s">
        <v>118</v>
      </c>
      <c r="CF615" t="s">
        <v>163</v>
      </c>
      <c r="CH615" t="s">
        <v>164</v>
      </c>
      <c r="CL615">
        <v>5</v>
      </c>
    </row>
    <row r="616" spans="1:90">
      <c r="A616" s="33" t="s">
        <v>888</v>
      </c>
      <c r="B616" s="33" t="s">
        <v>172</v>
      </c>
      <c r="C616" s="33" t="s">
        <v>152</v>
      </c>
      <c r="D616" s="33" t="s">
        <v>118</v>
      </c>
      <c r="E616" s="33"/>
      <c r="F616" s="33"/>
      <c r="G616" s="33"/>
      <c r="H616" s="33"/>
      <c r="L616">
        <v>3</v>
      </c>
      <c r="CA616" t="s">
        <v>991</v>
      </c>
      <c r="CB616" t="s">
        <v>175</v>
      </c>
      <c r="CC616" t="s">
        <v>149</v>
      </c>
      <c r="CD616" t="s">
        <v>118</v>
      </c>
      <c r="CL616">
        <v>5</v>
      </c>
    </row>
    <row r="617" spans="1:90">
      <c r="A617" s="33" t="s">
        <v>889</v>
      </c>
      <c r="B617" s="33" t="s">
        <v>172</v>
      </c>
      <c r="C617" s="33" t="s">
        <v>152</v>
      </c>
      <c r="D617" s="33" t="s">
        <v>124</v>
      </c>
      <c r="E617" s="33"/>
      <c r="F617" s="33"/>
      <c r="G617" s="33"/>
      <c r="H617" s="33"/>
      <c r="L617">
        <v>3</v>
      </c>
      <c r="CA617" s="33" t="s">
        <v>992</v>
      </c>
      <c r="CB617" s="33" t="s">
        <v>172</v>
      </c>
      <c r="CC617" s="33" t="s">
        <v>152</v>
      </c>
      <c r="CD617" s="33" t="s">
        <v>124</v>
      </c>
      <c r="CE617" s="33"/>
      <c r="CF617" s="33"/>
      <c r="CG617" s="33"/>
      <c r="CH617" s="33"/>
      <c r="CL617">
        <v>5</v>
      </c>
    </row>
    <row r="618" spans="1:90">
      <c r="A618" s="33" t="s">
        <v>890</v>
      </c>
      <c r="B618" s="33" t="s">
        <v>172</v>
      </c>
      <c r="C618" s="33" t="s">
        <v>149</v>
      </c>
      <c r="D618" s="33" t="s">
        <v>124</v>
      </c>
      <c r="E618" s="33"/>
      <c r="F618" s="33"/>
      <c r="G618" s="33"/>
      <c r="H618" s="33"/>
      <c r="L618">
        <v>3</v>
      </c>
      <c r="CA618" s="33" t="s">
        <v>993</v>
      </c>
      <c r="CB618" s="33" t="s">
        <v>172</v>
      </c>
      <c r="CC618" s="33" t="s">
        <v>149</v>
      </c>
      <c r="CD618" s="33" t="s">
        <v>118</v>
      </c>
      <c r="CE618" s="33"/>
      <c r="CF618" s="33"/>
      <c r="CG618" s="33"/>
      <c r="CH618" s="33"/>
      <c r="CL618">
        <v>5</v>
      </c>
    </row>
    <row r="619" spans="1:90">
      <c r="A619" t="s">
        <v>891</v>
      </c>
      <c r="B619" t="s">
        <v>279</v>
      </c>
      <c r="C619" t="s">
        <v>152</v>
      </c>
      <c r="D619" t="s">
        <v>118</v>
      </c>
      <c r="L619">
        <v>3</v>
      </c>
      <c r="CA619" s="33" t="s">
        <v>994</v>
      </c>
      <c r="CB619" s="33" t="s">
        <v>172</v>
      </c>
      <c r="CC619" s="33" t="s">
        <v>152</v>
      </c>
      <c r="CD619" s="33" t="s">
        <v>124</v>
      </c>
      <c r="CE619" s="33"/>
      <c r="CF619" s="33"/>
      <c r="CG619" s="33"/>
      <c r="CH619" s="33"/>
      <c r="CL619">
        <v>5</v>
      </c>
    </row>
    <row r="620" spans="1:90">
      <c r="A620" t="s">
        <v>892</v>
      </c>
      <c r="B620" t="s">
        <v>279</v>
      </c>
      <c r="C620" t="s">
        <v>149</v>
      </c>
      <c r="D620" t="s">
        <v>118</v>
      </c>
      <c r="L620">
        <v>3</v>
      </c>
      <c r="CA620" s="33" t="s">
        <v>995</v>
      </c>
      <c r="CB620" s="33" t="s">
        <v>172</v>
      </c>
      <c r="CC620" s="33" t="s">
        <v>152</v>
      </c>
      <c r="CD620" s="33" t="s">
        <v>124</v>
      </c>
      <c r="CE620" s="33"/>
      <c r="CF620" s="33"/>
      <c r="CG620" s="33"/>
      <c r="CH620" s="33"/>
      <c r="CL620">
        <v>5</v>
      </c>
    </row>
    <row r="621" spans="1:90">
      <c r="A621" t="s">
        <v>893</v>
      </c>
      <c r="B621" t="s">
        <v>175</v>
      </c>
      <c r="C621" t="s">
        <v>152</v>
      </c>
      <c r="D621" t="s">
        <v>124</v>
      </c>
      <c r="L621">
        <v>3</v>
      </c>
      <c r="CA621" s="33" t="s">
        <v>996</v>
      </c>
      <c r="CB621" s="33" t="s">
        <v>172</v>
      </c>
      <c r="CC621" s="33" t="s">
        <v>152</v>
      </c>
      <c r="CD621" s="33" t="s">
        <v>118</v>
      </c>
      <c r="CE621" s="33"/>
      <c r="CF621" s="33"/>
      <c r="CG621" s="33"/>
      <c r="CH621" s="33"/>
      <c r="CL621">
        <v>5</v>
      </c>
    </row>
    <row r="622" spans="1:90">
      <c r="A622" t="s">
        <v>894</v>
      </c>
      <c r="B622" t="s">
        <v>175</v>
      </c>
      <c r="C622" t="s">
        <v>152</v>
      </c>
      <c r="D622" t="s">
        <v>118</v>
      </c>
      <c r="F622" t="s">
        <v>163</v>
      </c>
      <c r="H622" t="s">
        <v>164</v>
      </c>
      <c r="L622">
        <v>3</v>
      </c>
      <c r="CA622" s="33" t="s">
        <v>997</v>
      </c>
      <c r="CB622" s="33" t="s">
        <v>172</v>
      </c>
      <c r="CC622" s="33" t="s">
        <v>149</v>
      </c>
      <c r="CD622" s="33" t="s">
        <v>118</v>
      </c>
      <c r="CE622" s="33"/>
      <c r="CF622" s="33"/>
      <c r="CG622" s="33"/>
      <c r="CH622" s="33"/>
      <c r="CL622">
        <v>5</v>
      </c>
    </row>
    <row r="623" spans="1:90">
      <c r="A623" t="s">
        <v>895</v>
      </c>
      <c r="B623" t="s">
        <v>175</v>
      </c>
      <c r="C623" t="s">
        <v>152</v>
      </c>
      <c r="D623" t="s">
        <v>124</v>
      </c>
      <c r="E623" t="s">
        <v>167</v>
      </c>
      <c r="I623" t="s">
        <v>186</v>
      </c>
      <c r="J623" t="s">
        <v>186</v>
      </c>
      <c r="K623" t="s">
        <v>896</v>
      </c>
      <c r="L623">
        <v>3</v>
      </c>
      <c r="CA623" s="33" t="s">
        <v>998</v>
      </c>
      <c r="CB623" s="33" t="s">
        <v>172</v>
      </c>
      <c r="CC623" s="33" t="s">
        <v>216</v>
      </c>
      <c r="CD623" s="33" t="s">
        <v>132</v>
      </c>
      <c r="CE623" s="33"/>
      <c r="CF623" s="33"/>
      <c r="CG623" s="33"/>
      <c r="CH623" s="33"/>
      <c r="CL623">
        <v>5</v>
      </c>
    </row>
    <row r="624" spans="1:90">
      <c r="A624" t="s">
        <v>897</v>
      </c>
      <c r="B624" t="s">
        <v>175</v>
      </c>
      <c r="C624" t="s">
        <v>152</v>
      </c>
      <c r="D624" t="s">
        <v>124</v>
      </c>
      <c r="L624">
        <v>3</v>
      </c>
      <c r="CA624" t="s">
        <v>999</v>
      </c>
      <c r="CB624" t="s">
        <v>279</v>
      </c>
      <c r="CC624" t="s">
        <v>152</v>
      </c>
      <c r="CD624" t="s">
        <v>124</v>
      </c>
      <c r="CL624">
        <v>5</v>
      </c>
    </row>
    <row r="625" spans="1:90">
      <c r="A625" t="s">
        <v>898</v>
      </c>
      <c r="B625" t="s">
        <v>175</v>
      </c>
      <c r="C625" t="s">
        <v>149</v>
      </c>
      <c r="D625" t="s">
        <v>118</v>
      </c>
      <c r="L625">
        <v>3</v>
      </c>
      <c r="CA625" t="s">
        <v>1000</v>
      </c>
      <c r="CB625" t="s">
        <v>279</v>
      </c>
      <c r="CC625" t="s">
        <v>152</v>
      </c>
      <c r="CD625" t="s">
        <v>124</v>
      </c>
      <c r="CF625" t="s">
        <v>273</v>
      </c>
      <c r="CH625" t="s">
        <v>164</v>
      </c>
      <c r="CL625">
        <v>5</v>
      </c>
    </row>
    <row r="626" spans="1:90">
      <c r="A626" t="s">
        <v>899</v>
      </c>
      <c r="B626" t="s">
        <v>175</v>
      </c>
      <c r="C626" t="s">
        <v>149</v>
      </c>
      <c r="D626" t="s">
        <v>124</v>
      </c>
      <c r="L626">
        <v>3</v>
      </c>
      <c r="CA626" t="s">
        <v>1001</v>
      </c>
      <c r="CB626" t="s">
        <v>215</v>
      </c>
      <c r="CC626" t="s">
        <v>149</v>
      </c>
      <c r="CD626" t="s">
        <v>124</v>
      </c>
      <c r="CE626" t="s">
        <v>167</v>
      </c>
      <c r="CI626" t="s">
        <v>186</v>
      </c>
      <c r="CJ626" t="s">
        <v>181</v>
      </c>
      <c r="CK626" t="s">
        <v>1002</v>
      </c>
      <c r="CL626">
        <v>5</v>
      </c>
    </row>
    <row r="627" spans="1:90">
      <c r="A627" t="s">
        <v>900</v>
      </c>
      <c r="B627" t="s">
        <v>175</v>
      </c>
      <c r="C627" t="s">
        <v>152</v>
      </c>
      <c r="D627" t="s">
        <v>132</v>
      </c>
      <c r="E627" t="s">
        <v>180</v>
      </c>
      <c r="I627" t="s">
        <v>221</v>
      </c>
      <c r="J627" t="s">
        <v>168</v>
      </c>
      <c r="K627" t="s">
        <v>901</v>
      </c>
      <c r="L627">
        <v>3</v>
      </c>
      <c r="CA627" t="s">
        <v>1003</v>
      </c>
      <c r="CB627" t="s">
        <v>175</v>
      </c>
      <c r="CC627" t="s">
        <v>149</v>
      </c>
      <c r="CD627" t="s">
        <v>118</v>
      </c>
      <c r="CL627">
        <v>5</v>
      </c>
    </row>
    <row r="628" spans="1:90">
      <c r="A628" t="s">
        <v>902</v>
      </c>
      <c r="B628" t="s">
        <v>175</v>
      </c>
      <c r="C628" t="s">
        <v>149</v>
      </c>
      <c r="D628" t="s">
        <v>118</v>
      </c>
      <c r="L628">
        <v>3</v>
      </c>
      <c r="CA628" s="33" t="s">
        <v>1004</v>
      </c>
      <c r="CB628" s="33" t="s">
        <v>172</v>
      </c>
      <c r="CC628" s="33" t="s">
        <v>149</v>
      </c>
      <c r="CD628" s="33" t="s">
        <v>118</v>
      </c>
      <c r="CE628" s="33"/>
      <c r="CF628" s="33"/>
      <c r="CG628" s="33"/>
      <c r="CH628" s="33"/>
      <c r="CL628">
        <v>5</v>
      </c>
    </row>
    <row r="629" spans="1:90">
      <c r="A629" t="s">
        <v>903</v>
      </c>
      <c r="B629" t="s">
        <v>175</v>
      </c>
      <c r="C629" t="s">
        <v>277</v>
      </c>
      <c r="D629" t="s">
        <v>124</v>
      </c>
      <c r="E629" t="s">
        <v>153</v>
      </c>
      <c r="I629" t="s">
        <v>221</v>
      </c>
      <c r="J629" t="s">
        <v>221</v>
      </c>
      <c r="K629" t="s">
        <v>904</v>
      </c>
      <c r="L629">
        <v>3</v>
      </c>
      <c r="CA629" s="33" t="s">
        <v>1005</v>
      </c>
      <c r="CB629" s="33" t="s">
        <v>172</v>
      </c>
      <c r="CC629" s="33" t="s">
        <v>152</v>
      </c>
      <c r="CD629" s="33" t="s">
        <v>132</v>
      </c>
      <c r="CE629" s="33"/>
      <c r="CF629" s="33"/>
      <c r="CG629" s="33"/>
      <c r="CH629" s="33"/>
      <c r="CL629">
        <v>5</v>
      </c>
    </row>
    <row r="630" spans="1:90">
      <c r="A630" t="s">
        <v>905</v>
      </c>
      <c r="B630" t="s">
        <v>116</v>
      </c>
      <c r="C630" t="s">
        <v>277</v>
      </c>
      <c r="D630" t="s">
        <v>118</v>
      </c>
      <c r="F630" t="s">
        <v>163</v>
      </c>
      <c r="H630" t="s">
        <v>164</v>
      </c>
      <c r="L630">
        <v>4</v>
      </c>
      <c r="CA630" s="33" t="s">
        <v>1006</v>
      </c>
      <c r="CB630" s="33" t="s">
        <v>172</v>
      </c>
      <c r="CC630" s="33" t="s">
        <v>277</v>
      </c>
      <c r="CD630" s="33" t="s">
        <v>124</v>
      </c>
      <c r="CE630" s="33"/>
      <c r="CF630" s="33"/>
      <c r="CG630" s="33"/>
      <c r="CH630" s="33"/>
      <c r="CL630">
        <v>5</v>
      </c>
    </row>
    <row r="631" spans="1:90">
      <c r="A631" t="s">
        <v>906</v>
      </c>
      <c r="B631" t="s">
        <v>116</v>
      </c>
      <c r="C631" t="s">
        <v>149</v>
      </c>
      <c r="D631" t="s">
        <v>118</v>
      </c>
      <c r="F631" t="s">
        <v>370</v>
      </c>
      <c r="H631" t="s">
        <v>164</v>
      </c>
      <c r="L631">
        <v>4</v>
      </c>
      <c r="CA631" s="33" t="s">
        <v>1007</v>
      </c>
      <c r="CB631" s="33" t="s">
        <v>172</v>
      </c>
      <c r="CC631" s="33" t="s">
        <v>152</v>
      </c>
      <c r="CD631" s="33" t="s">
        <v>124</v>
      </c>
      <c r="CE631" s="33"/>
      <c r="CF631" s="33"/>
      <c r="CG631" s="33"/>
      <c r="CH631" s="33"/>
      <c r="CL631">
        <v>5</v>
      </c>
    </row>
    <row r="632" spans="1:90">
      <c r="A632" t="s">
        <v>907</v>
      </c>
      <c r="B632" t="s">
        <v>151</v>
      </c>
      <c r="C632" t="s">
        <v>152</v>
      </c>
      <c r="D632" t="s">
        <v>118</v>
      </c>
      <c r="E632" t="s">
        <v>295</v>
      </c>
      <c r="J632" t="s">
        <v>186</v>
      </c>
      <c r="K632" t="s">
        <v>908</v>
      </c>
      <c r="L632">
        <v>4</v>
      </c>
      <c r="CA632" t="s">
        <v>1008</v>
      </c>
      <c r="CB632" t="s">
        <v>279</v>
      </c>
      <c r="CC632" t="s">
        <v>216</v>
      </c>
      <c r="CD632" t="s">
        <v>124</v>
      </c>
      <c r="CL632">
        <v>5</v>
      </c>
    </row>
    <row r="633" spans="1:90">
      <c r="A633" t="s">
        <v>909</v>
      </c>
      <c r="B633" t="s">
        <v>151</v>
      </c>
      <c r="C633" t="s">
        <v>149</v>
      </c>
      <c r="D633" t="s">
        <v>124</v>
      </c>
      <c r="F633" t="s">
        <v>163</v>
      </c>
      <c r="H633" t="s">
        <v>164</v>
      </c>
      <c r="J633" t="s">
        <v>221</v>
      </c>
      <c r="K633" t="s">
        <v>910</v>
      </c>
      <c r="L633">
        <v>4</v>
      </c>
      <c r="CA633" t="s">
        <v>1009</v>
      </c>
      <c r="CB633" t="s">
        <v>279</v>
      </c>
      <c r="CC633" t="s">
        <v>216</v>
      </c>
      <c r="CD633" t="s">
        <v>124</v>
      </c>
      <c r="CL633">
        <v>5</v>
      </c>
    </row>
    <row r="634" spans="1:90">
      <c r="A634" t="s">
        <v>911</v>
      </c>
      <c r="B634" t="s">
        <v>151</v>
      </c>
      <c r="C634" t="s">
        <v>152</v>
      </c>
      <c r="D634" t="s">
        <v>124</v>
      </c>
      <c r="F634" t="s">
        <v>163</v>
      </c>
      <c r="H634" t="s">
        <v>164</v>
      </c>
      <c r="L634">
        <v>4</v>
      </c>
      <c r="CA634" t="s">
        <v>1010</v>
      </c>
      <c r="CB634" t="s">
        <v>175</v>
      </c>
      <c r="CC634" t="s">
        <v>149</v>
      </c>
      <c r="CD634" t="s">
        <v>118</v>
      </c>
      <c r="CL634">
        <v>5</v>
      </c>
    </row>
    <row r="635" spans="1:90">
      <c r="A635" t="s">
        <v>912</v>
      </c>
      <c r="B635" t="s">
        <v>151</v>
      </c>
      <c r="C635" t="s">
        <v>149</v>
      </c>
      <c r="D635" t="s">
        <v>118</v>
      </c>
      <c r="L635">
        <v>4</v>
      </c>
      <c r="CA635" t="s">
        <v>1011</v>
      </c>
      <c r="CB635" t="s">
        <v>175</v>
      </c>
      <c r="CC635" t="s">
        <v>149</v>
      </c>
      <c r="CD635" t="s">
        <v>124</v>
      </c>
      <c r="CL635">
        <v>5</v>
      </c>
    </row>
    <row r="636" spans="1:90">
      <c r="A636" t="s">
        <v>913</v>
      </c>
      <c r="B636" t="s">
        <v>175</v>
      </c>
      <c r="C636" t="s">
        <v>152</v>
      </c>
      <c r="D636" t="s">
        <v>118</v>
      </c>
      <c r="L636">
        <v>4</v>
      </c>
      <c r="CA636" t="s">
        <v>1012</v>
      </c>
      <c r="CB636" t="s">
        <v>116</v>
      </c>
      <c r="CC636" t="s">
        <v>117</v>
      </c>
      <c r="CD636" t="s">
        <v>124</v>
      </c>
      <c r="CL636">
        <v>5</v>
      </c>
    </row>
    <row r="637" spans="1:90">
      <c r="A637" t="s">
        <v>914</v>
      </c>
      <c r="B637" t="s">
        <v>175</v>
      </c>
      <c r="C637" t="s">
        <v>152</v>
      </c>
      <c r="D637" t="s">
        <v>118</v>
      </c>
      <c r="E637" t="s">
        <v>153</v>
      </c>
      <c r="F637" t="s">
        <v>370</v>
      </c>
      <c r="G637" t="s">
        <v>370</v>
      </c>
      <c r="H637" t="s">
        <v>164</v>
      </c>
      <c r="I637" t="s">
        <v>186</v>
      </c>
      <c r="J637" t="s">
        <v>186</v>
      </c>
      <c r="K637" t="s">
        <v>915</v>
      </c>
      <c r="L637">
        <v>4</v>
      </c>
      <c r="CA637" t="s">
        <v>1013</v>
      </c>
      <c r="CB637" t="s">
        <v>116</v>
      </c>
      <c r="CC637" t="s">
        <v>117</v>
      </c>
      <c r="CD637" t="s">
        <v>118</v>
      </c>
      <c r="CL637">
        <v>5</v>
      </c>
    </row>
    <row r="638" spans="1:90">
      <c r="A638" t="s">
        <v>916</v>
      </c>
      <c r="B638" t="s">
        <v>175</v>
      </c>
      <c r="C638" t="s">
        <v>152</v>
      </c>
      <c r="D638" t="s">
        <v>118</v>
      </c>
      <c r="L638">
        <v>4</v>
      </c>
      <c r="CA638" t="s">
        <v>1014</v>
      </c>
      <c r="CB638" t="s">
        <v>116</v>
      </c>
      <c r="CC638" t="s">
        <v>117</v>
      </c>
      <c r="CD638" t="s">
        <v>138</v>
      </c>
      <c r="CL638">
        <v>5</v>
      </c>
    </row>
    <row r="639" spans="1:90">
      <c r="A639" t="s">
        <v>917</v>
      </c>
      <c r="B639" t="s">
        <v>175</v>
      </c>
      <c r="C639" t="s">
        <v>152</v>
      </c>
      <c r="D639" t="s">
        <v>138</v>
      </c>
      <c r="F639" t="s">
        <v>163</v>
      </c>
      <c r="H639" t="s">
        <v>164</v>
      </c>
      <c r="L639">
        <v>4</v>
      </c>
      <c r="CA639" t="s">
        <v>1015</v>
      </c>
      <c r="CB639" t="s">
        <v>116</v>
      </c>
      <c r="CC639" t="s">
        <v>120</v>
      </c>
      <c r="CD639" t="s">
        <v>118</v>
      </c>
      <c r="CL639">
        <v>5</v>
      </c>
    </row>
    <row r="640" spans="1:90">
      <c r="A640" t="s">
        <v>918</v>
      </c>
      <c r="B640" t="s">
        <v>175</v>
      </c>
      <c r="C640" t="s">
        <v>152</v>
      </c>
      <c r="D640" t="s">
        <v>138</v>
      </c>
      <c r="F640" t="s">
        <v>163</v>
      </c>
      <c r="H640" t="s">
        <v>164</v>
      </c>
      <c r="L640">
        <v>4</v>
      </c>
      <c r="CA640" t="s">
        <v>1016</v>
      </c>
      <c r="CB640" t="s">
        <v>116</v>
      </c>
      <c r="CC640" t="s">
        <v>277</v>
      </c>
      <c r="CD640" t="s">
        <v>124</v>
      </c>
      <c r="CL640">
        <v>5</v>
      </c>
    </row>
    <row r="641" spans="1:90">
      <c r="A641" t="s">
        <v>919</v>
      </c>
      <c r="B641" t="s">
        <v>175</v>
      </c>
      <c r="C641" t="s">
        <v>149</v>
      </c>
      <c r="D641" t="s">
        <v>118</v>
      </c>
      <c r="L641">
        <v>4</v>
      </c>
      <c r="CA641" t="s">
        <v>1017</v>
      </c>
      <c r="CB641" t="s">
        <v>116</v>
      </c>
      <c r="CC641" t="s">
        <v>152</v>
      </c>
      <c r="CD641" t="s">
        <v>118</v>
      </c>
      <c r="CF641" t="s">
        <v>370</v>
      </c>
      <c r="CH641" t="s">
        <v>164</v>
      </c>
      <c r="CL641">
        <v>5</v>
      </c>
    </row>
    <row r="642" spans="1:90">
      <c r="A642" s="33" t="s">
        <v>920</v>
      </c>
      <c r="B642" s="33" t="s">
        <v>172</v>
      </c>
      <c r="C642" s="33" t="s">
        <v>216</v>
      </c>
      <c r="D642" s="33" t="s">
        <v>124</v>
      </c>
      <c r="E642" s="33"/>
      <c r="F642" s="33"/>
      <c r="G642" s="33"/>
      <c r="H642" s="33"/>
      <c r="L642">
        <v>4</v>
      </c>
      <c r="CA642" t="s">
        <v>1018</v>
      </c>
      <c r="CB642" t="s">
        <v>116</v>
      </c>
      <c r="CC642" t="s">
        <v>152</v>
      </c>
      <c r="CD642" t="s">
        <v>124</v>
      </c>
      <c r="CF642" t="s">
        <v>370</v>
      </c>
      <c r="CH642" t="s">
        <v>164</v>
      </c>
      <c r="CL642">
        <v>5</v>
      </c>
    </row>
    <row r="643" spans="1:90">
      <c r="A643" s="33" t="s">
        <v>921</v>
      </c>
      <c r="B643" s="33" t="s">
        <v>172</v>
      </c>
      <c r="C643" s="33" t="s">
        <v>152</v>
      </c>
      <c r="D643" s="33" t="s">
        <v>118</v>
      </c>
      <c r="E643" s="33"/>
      <c r="F643" s="33"/>
      <c r="G643" s="33"/>
      <c r="H643" s="33"/>
      <c r="L643">
        <v>4</v>
      </c>
      <c r="CA643" t="s">
        <v>1019</v>
      </c>
      <c r="CB643" t="s">
        <v>116</v>
      </c>
      <c r="CC643" t="s">
        <v>152</v>
      </c>
      <c r="CD643" t="s">
        <v>118</v>
      </c>
      <c r="CF643" t="s">
        <v>370</v>
      </c>
      <c r="CH643" t="s">
        <v>164</v>
      </c>
      <c r="CL643">
        <v>5</v>
      </c>
    </row>
    <row r="644" spans="1:90">
      <c r="A644" s="33" t="s">
        <v>922</v>
      </c>
      <c r="B644" s="33" t="s">
        <v>172</v>
      </c>
      <c r="C644" s="33" t="s">
        <v>152</v>
      </c>
      <c r="D644" s="33" t="s">
        <v>124</v>
      </c>
      <c r="E644" s="33"/>
      <c r="F644" s="33"/>
      <c r="G644" s="33"/>
      <c r="H644" s="33"/>
      <c r="L644">
        <v>4</v>
      </c>
      <c r="CA644" t="s">
        <v>1020</v>
      </c>
      <c r="CB644" t="s">
        <v>160</v>
      </c>
      <c r="CC644" t="s">
        <v>120</v>
      </c>
      <c r="CD644" t="s">
        <v>138</v>
      </c>
      <c r="CL644">
        <v>5</v>
      </c>
    </row>
    <row r="645" spans="1:90">
      <c r="A645" s="33" t="s">
        <v>923</v>
      </c>
      <c r="B645" s="33" t="s">
        <v>172</v>
      </c>
      <c r="C645" s="33" t="s">
        <v>149</v>
      </c>
      <c r="D645" s="33" t="s">
        <v>118</v>
      </c>
      <c r="E645" s="33"/>
      <c r="F645" s="33"/>
      <c r="G645" s="33"/>
      <c r="H645" s="33"/>
      <c r="L645">
        <v>4</v>
      </c>
      <c r="CA645" t="s">
        <v>1021</v>
      </c>
      <c r="CB645" t="s">
        <v>175</v>
      </c>
      <c r="CC645" t="s">
        <v>152</v>
      </c>
      <c r="CD645" t="s">
        <v>118</v>
      </c>
      <c r="CF645" t="s">
        <v>163</v>
      </c>
      <c r="CG645" t="s">
        <v>273</v>
      </c>
      <c r="CH645" t="s">
        <v>164</v>
      </c>
      <c r="CL645">
        <v>5</v>
      </c>
    </row>
    <row r="646" spans="1:90">
      <c r="A646" t="s">
        <v>924</v>
      </c>
      <c r="B646" t="s">
        <v>175</v>
      </c>
      <c r="C646" t="s">
        <v>852</v>
      </c>
      <c r="D646" t="s">
        <v>124</v>
      </c>
      <c r="L646">
        <v>4</v>
      </c>
      <c r="CA646" t="s">
        <v>1022</v>
      </c>
      <c r="CB646" t="s">
        <v>175</v>
      </c>
      <c r="CC646" t="s">
        <v>149</v>
      </c>
      <c r="CD646" t="s">
        <v>132</v>
      </c>
      <c r="CF646" t="s">
        <v>163</v>
      </c>
      <c r="CG646" t="s">
        <v>273</v>
      </c>
      <c r="CH646" t="s">
        <v>164</v>
      </c>
      <c r="CL646">
        <v>5</v>
      </c>
    </row>
    <row r="647" spans="1:90">
      <c r="A647" t="s">
        <v>925</v>
      </c>
      <c r="B647" t="s">
        <v>175</v>
      </c>
      <c r="C647" t="s">
        <v>149</v>
      </c>
      <c r="D647" t="s">
        <v>124</v>
      </c>
      <c r="E647" t="s">
        <v>167</v>
      </c>
      <c r="I647" t="s">
        <v>189</v>
      </c>
      <c r="J647" t="s">
        <v>189</v>
      </c>
      <c r="K647" t="s">
        <v>347</v>
      </c>
      <c r="L647">
        <v>4</v>
      </c>
      <c r="CA647" t="s">
        <v>1023</v>
      </c>
      <c r="CB647" t="s">
        <v>175</v>
      </c>
      <c r="CC647" t="s">
        <v>852</v>
      </c>
      <c r="CD647" t="s">
        <v>118</v>
      </c>
      <c r="CL647">
        <v>5</v>
      </c>
    </row>
    <row r="648" spans="1:90">
      <c r="A648" t="s">
        <v>926</v>
      </c>
      <c r="B648" t="s">
        <v>151</v>
      </c>
      <c r="C648" t="s">
        <v>149</v>
      </c>
      <c r="D648" t="s">
        <v>124</v>
      </c>
      <c r="F648" t="s">
        <v>163</v>
      </c>
      <c r="H648" t="s">
        <v>164</v>
      </c>
      <c r="L648">
        <v>4</v>
      </c>
      <c r="CA648" t="s">
        <v>1024</v>
      </c>
      <c r="CB648" t="s">
        <v>175</v>
      </c>
      <c r="CC648" t="s">
        <v>852</v>
      </c>
      <c r="CD648" t="s">
        <v>124</v>
      </c>
      <c r="CF648" t="s">
        <v>163</v>
      </c>
      <c r="CH648" t="s">
        <v>164</v>
      </c>
      <c r="CL648">
        <v>5</v>
      </c>
    </row>
    <row r="649" spans="1:90">
      <c r="A649" t="s">
        <v>927</v>
      </c>
      <c r="B649" t="s">
        <v>175</v>
      </c>
      <c r="C649" t="s">
        <v>149</v>
      </c>
      <c r="D649" t="s">
        <v>124</v>
      </c>
      <c r="L649">
        <v>4</v>
      </c>
      <c r="CA649" t="s">
        <v>1025</v>
      </c>
      <c r="CB649" t="s">
        <v>175</v>
      </c>
      <c r="CC649" t="s">
        <v>277</v>
      </c>
      <c r="CD649" t="s">
        <v>124</v>
      </c>
      <c r="CF649" t="s">
        <v>163</v>
      </c>
      <c r="CH649" t="s">
        <v>164</v>
      </c>
      <c r="CL649">
        <v>5</v>
      </c>
    </row>
    <row r="650" spans="1:90">
      <c r="A650" t="s">
        <v>928</v>
      </c>
      <c r="B650" t="s">
        <v>116</v>
      </c>
      <c r="C650" t="s">
        <v>120</v>
      </c>
      <c r="D650" t="s">
        <v>118</v>
      </c>
      <c r="L650">
        <v>4</v>
      </c>
      <c r="CA650" t="s">
        <v>1026</v>
      </c>
      <c r="CB650" t="s">
        <v>175</v>
      </c>
      <c r="CC650" t="s">
        <v>277</v>
      </c>
      <c r="CD650" t="s">
        <v>124</v>
      </c>
      <c r="CF650" t="s">
        <v>163</v>
      </c>
      <c r="CH650" t="s">
        <v>164</v>
      </c>
      <c r="CL650">
        <v>5</v>
      </c>
    </row>
    <row r="651" spans="1:90">
      <c r="A651" t="s">
        <v>929</v>
      </c>
      <c r="B651" t="s">
        <v>116</v>
      </c>
      <c r="C651" t="s">
        <v>120</v>
      </c>
      <c r="D651" t="s">
        <v>118</v>
      </c>
      <c r="L651">
        <v>4</v>
      </c>
      <c r="CA651" t="s">
        <v>1027</v>
      </c>
      <c r="CB651" t="s">
        <v>175</v>
      </c>
      <c r="CC651" t="s">
        <v>152</v>
      </c>
      <c r="CD651" t="s">
        <v>118</v>
      </c>
      <c r="CF651" t="s">
        <v>163</v>
      </c>
      <c r="CG651" t="s">
        <v>273</v>
      </c>
      <c r="CH651" t="s">
        <v>164</v>
      </c>
      <c r="CL651">
        <v>5</v>
      </c>
    </row>
    <row r="652" spans="1:90">
      <c r="A652" t="s">
        <v>930</v>
      </c>
      <c r="B652" t="s">
        <v>116</v>
      </c>
      <c r="C652" t="s">
        <v>120</v>
      </c>
      <c r="D652" t="s">
        <v>118</v>
      </c>
      <c r="L652">
        <v>4</v>
      </c>
      <c r="CA652" t="s">
        <v>1028</v>
      </c>
      <c r="CB652" t="s">
        <v>175</v>
      </c>
      <c r="CC652" t="s">
        <v>152</v>
      </c>
      <c r="CD652" t="s">
        <v>124</v>
      </c>
      <c r="CF652" t="s">
        <v>163</v>
      </c>
      <c r="CG652" t="s">
        <v>273</v>
      </c>
      <c r="CH652" t="s">
        <v>164</v>
      </c>
      <c r="CL652">
        <v>5</v>
      </c>
    </row>
    <row r="653" spans="1:90">
      <c r="A653" t="s">
        <v>931</v>
      </c>
      <c r="B653" t="s">
        <v>116</v>
      </c>
      <c r="C653" t="s">
        <v>152</v>
      </c>
      <c r="D653" t="s">
        <v>118</v>
      </c>
      <c r="L653">
        <v>4</v>
      </c>
      <c r="CA653" t="s">
        <v>1029</v>
      </c>
      <c r="CB653" t="s">
        <v>175</v>
      </c>
      <c r="CC653" t="s">
        <v>149</v>
      </c>
      <c r="CD653" t="s">
        <v>118</v>
      </c>
      <c r="CF653" t="s">
        <v>163</v>
      </c>
      <c r="CG653" t="s">
        <v>273</v>
      </c>
      <c r="CH653" t="s">
        <v>164</v>
      </c>
      <c r="CL653">
        <v>5</v>
      </c>
    </row>
    <row r="654" spans="1:90">
      <c r="A654" t="s">
        <v>932</v>
      </c>
      <c r="B654" t="s">
        <v>116</v>
      </c>
      <c r="C654" t="s">
        <v>149</v>
      </c>
      <c r="D654" t="s">
        <v>118</v>
      </c>
      <c r="L654">
        <v>4</v>
      </c>
      <c r="CA654" t="s">
        <v>1030</v>
      </c>
      <c r="CB654" t="s">
        <v>175</v>
      </c>
      <c r="CC654" t="s">
        <v>277</v>
      </c>
      <c r="CD654" t="s">
        <v>118</v>
      </c>
      <c r="CF654" t="s">
        <v>163</v>
      </c>
      <c r="CG654" t="s">
        <v>273</v>
      </c>
      <c r="CH654" t="s">
        <v>164</v>
      </c>
      <c r="CL654">
        <v>5</v>
      </c>
    </row>
    <row r="655" spans="1:90">
      <c r="A655" t="s">
        <v>933</v>
      </c>
      <c r="B655" t="s">
        <v>116</v>
      </c>
      <c r="C655" t="s">
        <v>152</v>
      </c>
      <c r="D655" t="s">
        <v>124</v>
      </c>
      <c r="F655" t="s">
        <v>370</v>
      </c>
      <c r="H655" t="s">
        <v>164</v>
      </c>
      <c r="L655">
        <v>4</v>
      </c>
      <c r="CA655" t="s">
        <v>1031</v>
      </c>
      <c r="CB655" t="s">
        <v>175</v>
      </c>
      <c r="CC655" t="s">
        <v>152</v>
      </c>
      <c r="CD655" t="s">
        <v>118</v>
      </c>
      <c r="CL655">
        <v>5</v>
      </c>
    </row>
    <row r="656" spans="1:90">
      <c r="A656" t="s">
        <v>934</v>
      </c>
      <c r="B656" t="s">
        <v>116</v>
      </c>
      <c r="C656" t="s">
        <v>152</v>
      </c>
      <c r="D656" t="s">
        <v>118</v>
      </c>
      <c r="J656" t="s">
        <v>221</v>
      </c>
      <c r="L656">
        <v>4</v>
      </c>
      <c r="CA656" t="s">
        <v>1032</v>
      </c>
      <c r="CB656" t="s">
        <v>175</v>
      </c>
      <c r="CC656" t="s">
        <v>149</v>
      </c>
      <c r="CD656" t="s">
        <v>118</v>
      </c>
      <c r="CF656" t="s">
        <v>163</v>
      </c>
      <c r="CG656" t="s">
        <v>273</v>
      </c>
      <c r="CH656" t="s">
        <v>164</v>
      </c>
      <c r="CL656">
        <v>5</v>
      </c>
    </row>
    <row r="657" spans="1:90">
      <c r="A657" t="s">
        <v>935</v>
      </c>
      <c r="B657" t="s">
        <v>151</v>
      </c>
      <c r="C657" t="s">
        <v>149</v>
      </c>
      <c r="D657" t="s">
        <v>124</v>
      </c>
      <c r="F657" t="s">
        <v>163</v>
      </c>
      <c r="H657" t="s">
        <v>164</v>
      </c>
      <c r="L657">
        <v>4</v>
      </c>
      <c r="CA657" t="s">
        <v>1033</v>
      </c>
      <c r="CB657" t="s">
        <v>175</v>
      </c>
      <c r="CC657" t="s">
        <v>152</v>
      </c>
      <c r="CD657" t="s">
        <v>118</v>
      </c>
      <c r="CF657" t="s">
        <v>163</v>
      </c>
      <c r="CG657" t="s">
        <v>273</v>
      </c>
      <c r="CH657" t="s">
        <v>164</v>
      </c>
      <c r="CL657">
        <v>5</v>
      </c>
    </row>
    <row r="658" spans="1:90">
      <c r="A658" t="s">
        <v>936</v>
      </c>
      <c r="B658" t="s">
        <v>162</v>
      </c>
      <c r="C658" t="s">
        <v>152</v>
      </c>
      <c r="D658" t="s">
        <v>118</v>
      </c>
      <c r="L658">
        <v>4</v>
      </c>
      <c r="CA658" t="s">
        <v>1034</v>
      </c>
      <c r="CB658" t="s">
        <v>175</v>
      </c>
      <c r="CC658" t="s">
        <v>152</v>
      </c>
      <c r="CD658" t="s">
        <v>118</v>
      </c>
      <c r="CF658" t="s">
        <v>163</v>
      </c>
      <c r="CG658" t="s">
        <v>273</v>
      </c>
      <c r="CH658" t="s">
        <v>164</v>
      </c>
      <c r="CL658">
        <v>5</v>
      </c>
    </row>
    <row r="659" spans="1:90">
      <c r="A659" t="s">
        <v>937</v>
      </c>
      <c r="B659" t="s">
        <v>151</v>
      </c>
      <c r="C659" t="s">
        <v>152</v>
      </c>
      <c r="D659" t="s">
        <v>118</v>
      </c>
      <c r="E659" t="s">
        <v>167</v>
      </c>
      <c r="F659" t="s">
        <v>163</v>
      </c>
      <c r="H659" t="s">
        <v>164</v>
      </c>
      <c r="I659" t="s">
        <v>168</v>
      </c>
      <c r="J659" t="s">
        <v>168</v>
      </c>
      <c r="K659" t="s">
        <v>938</v>
      </c>
      <c r="L659">
        <v>4</v>
      </c>
      <c r="CA659" t="s">
        <v>1035</v>
      </c>
      <c r="CB659" t="s">
        <v>175</v>
      </c>
      <c r="CC659" t="s">
        <v>152</v>
      </c>
      <c r="CD659" t="s">
        <v>124</v>
      </c>
      <c r="CF659" t="s">
        <v>163</v>
      </c>
      <c r="CG659" t="s">
        <v>273</v>
      </c>
      <c r="CH659" t="s">
        <v>164</v>
      </c>
      <c r="CL659">
        <v>5</v>
      </c>
    </row>
    <row r="660" spans="1:90">
      <c r="A660" t="s">
        <v>939</v>
      </c>
      <c r="B660" t="s">
        <v>175</v>
      </c>
      <c r="C660" t="s">
        <v>152</v>
      </c>
      <c r="D660" t="s">
        <v>143</v>
      </c>
      <c r="F660" t="s">
        <v>163</v>
      </c>
      <c r="G660" t="s">
        <v>163</v>
      </c>
      <c r="H660" t="s">
        <v>164</v>
      </c>
      <c r="L660">
        <v>4</v>
      </c>
      <c r="CA660" t="s">
        <v>1036</v>
      </c>
      <c r="CB660" t="s">
        <v>175</v>
      </c>
      <c r="CC660" t="s">
        <v>152</v>
      </c>
      <c r="CD660" t="s">
        <v>118</v>
      </c>
      <c r="CF660" t="s">
        <v>163</v>
      </c>
      <c r="CG660" t="s">
        <v>273</v>
      </c>
      <c r="CH660" t="s">
        <v>164</v>
      </c>
      <c r="CL660">
        <v>5</v>
      </c>
    </row>
    <row r="661" spans="1:90">
      <c r="A661" t="s">
        <v>940</v>
      </c>
      <c r="B661" t="s">
        <v>175</v>
      </c>
      <c r="C661" t="s">
        <v>149</v>
      </c>
      <c r="D661" t="s">
        <v>118</v>
      </c>
      <c r="L661">
        <v>4</v>
      </c>
      <c r="CA661" t="s">
        <v>1037</v>
      </c>
      <c r="CB661" t="s">
        <v>175</v>
      </c>
      <c r="CC661" t="s">
        <v>152</v>
      </c>
      <c r="CD661" t="s">
        <v>118</v>
      </c>
      <c r="CL661">
        <v>5</v>
      </c>
    </row>
    <row r="662" spans="1:90">
      <c r="A662" t="s">
        <v>941</v>
      </c>
      <c r="B662" t="s">
        <v>175</v>
      </c>
      <c r="C662" t="s">
        <v>152</v>
      </c>
      <c r="D662" t="s">
        <v>118</v>
      </c>
      <c r="L662">
        <v>4</v>
      </c>
      <c r="CA662" t="s">
        <v>1038</v>
      </c>
      <c r="CB662" t="s">
        <v>175</v>
      </c>
      <c r="CC662" t="s">
        <v>152</v>
      </c>
      <c r="CD662" t="s">
        <v>118</v>
      </c>
      <c r="CL662">
        <v>5</v>
      </c>
    </row>
    <row r="663" spans="1:90">
      <c r="A663" t="s">
        <v>942</v>
      </c>
      <c r="B663" t="s">
        <v>175</v>
      </c>
      <c r="C663" t="s">
        <v>152</v>
      </c>
      <c r="D663" t="s">
        <v>124</v>
      </c>
      <c r="L663">
        <v>4</v>
      </c>
      <c r="CA663" s="33" t="s">
        <v>1039</v>
      </c>
      <c r="CB663" s="33" t="s">
        <v>172</v>
      </c>
      <c r="CC663" s="33" t="s">
        <v>216</v>
      </c>
      <c r="CD663" s="33" t="s">
        <v>143</v>
      </c>
      <c r="CE663" s="33"/>
      <c r="CF663" s="33"/>
      <c r="CG663" s="33"/>
      <c r="CH663" s="33"/>
      <c r="CL663">
        <v>5</v>
      </c>
    </row>
    <row r="664" spans="1:90">
      <c r="A664" s="33" t="s">
        <v>943</v>
      </c>
      <c r="B664" s="33" t="s">
        <v>172</v>
      </c>
      <c r="C664" s="33" t="s">
        <v>152</v>
      </c>
      <c r="D664" s="33" t="s">
        <v>118</v>
      </c>
      <c r="E664" s="33"/>
      <c r="F664" s="33"/>
      <c r="G664" s="33"/>
      <c r="H664" s="33"/>
      <c r="L664">
        <v>4</v>
      </c>
      <c r="CA664" s="33" t="s">
        <v>1040</v>
      </c>
      <c r="CB664" s="33" t="s">
        <v>172</v>
      </c>
      <c r="CC664" s="33" t="s">
        <v>149</v>
      </c>
      <c r="CD664" s="33" t="s">
        <v>132</v>
      </c>
      <c r="CE664" s="33"/>
      <c r="CF664" s="33"/>
      <c r="CG664" s="33"/>
      <c r="CH664" s="33"/>
      <c r="CL664">
        <v>5</v>
      </c>
    </row>
    <row r="665" spans="1:90">
      <c r="A665" t="s">
        <v>944</v>
      </c>
      <c r="B665" t="s">
        <v>279</v>
      </c>
      <c r="C665" t="s">
        <v>152</v>
      </c>
      <c r="D665" t="s">
        <v>118</v>
      </c>
      <c r="L665">
        <v>4</v>
      </c>
      <c r="CA665" s="33" t="s">
        <v>1041</v>
      </c>
      <c r="CB665" s="33" t="s">
        <v>172</v>
      </c>
      <c r="CC665" s="33" t="s">
        <v>149</v>
      </c>
      <c r="CD665" s="33" t="s">
        <v>118</v>
      </c>
      <c r="CE665" s="33"/>
      <c r="CF665" s="33"/>
      <c r="CG665" s="33"/>
      <c r="CH665" s="33"/>
      <c r="CL665">
        <v>5</v>
      </c>
    </row>
    <row r="666" spans="1:90">
      <c r="A666" t="s">
        <v>945</v>
      </c>
      <c r="B666" t="s">
        <v>175</v>
      </c>
      <c r="C666" t="s">
        <v>152</v>
      </c>
      <c r="D666" t="s">
        <v>132</v>
      </c>
      <c r="F666" t="s">
        <v>163</v>
      </c>
      <c r="H666" t="s">
        <v>164</v>
      </c>
      <c r="L666">
        <v>4</v>
      </c>
      <c r="CA666" s="33" t="s">
        <v>1042</v>
      </c>
      <c r="CB666" s="33" t="s">
        <v>172</v>
      </c>
      <c r="CC666" s="33" t="s">
        <v>152</v>
      </c>
      <c r="CD666" s="33" t="s">
        <v>124</v>
      </c>
      <c r="CE666" s="33"/>
      <c r="CF666" s="33"/>
      <c r="CG666" s="33"/>
      <c r="CH666" s="33"/>
      <c r="CL666">
        <v>5</v>
      </c>
    </row>
    <row r="667" spans="1:90">
      <c r="A667" t="s">
        <v>946</v>
      </c>
      <c r="B667" t="s">
        <v>215</v>
      </c>
      <c r="C667" t="s">
        <v>216</v>
      </c>
      <c r="D667" t="s">
        <v>132</v>
      </c>
      <c r="L667">
        <v>4</v>
      </c>
      <c r="CA667" s="33" t="s">
        <v>1043</v>
      </c>
      <c r="CB667" s="33" t="s">
        <v>172</v>
      </c>
      <c r="CC667" s="33" t="s">
        <v>152</v>
      </c>
      <c r="CD667" s="33" t="s">
        <v>118</v>
      </c>
      <c r="CE667" s="33"/>
      <c r="CF667" s="33"/>
      <c r="CG667" s="33"/>
      <c r="CH667" s="33"/>
      <c r="CL667">
        <v>5</v>
      </c>
    </row>
    <row r="668" spans="1:90">
      <c r="A668" t="s">
        <v>947</v>
      </c>
      <c r="B668" t="s">
        <v>116</v>
      </c>
      <c r="C668" t="s">
        <v>117</v>
      </c>
      <c r="D668" t="s">
        <v>132</v>
      </c>
      <c r="F668" t="s">
        <v>273</v>
      </c>
      <c r="H668" t="s">
        <v>164</v>
      </c>
      <c r="L668">
        <v>4</v>
      </c>
      <c r="CA668" s="33" t="s">
        <v>1044</v>
      </c>
      <c r="CB668" s="33" t="s">
        <v>172</v>
      </c>
      <c r="CC668" s="33" t="s">
        <v>152</v>
      </c>
      <c r="CD668" s="33" t="s">
        <v>124</v>
      </c>
      <c r="CE668" s="33"/>
      <c r="CF668" s="33"/>
      <c r="CG668" s="33"/>
      <c r="CH668" s="33"/>
      <c r="CL668">
        <v>5</v>
      </c>
    </row>
    <row r="669" spans="1:90">
      <c r="A669" t="s">
        <v>948</v>
      </c>
      <c r="B669" t="s">
        <v>116</v>
      </c>
      <c r="C669" t="s">
        <v>149</v>
      </c>
      <c r="D669" t="s">
        <v>118</v>
      </c>
      <c r="F669" t="s">
        <v>370</v>
      </c>
      <c r="H669" t="s">
        <v>164</v>
      </c>
      <c r="L669">
        <v>4</v>
      </c>
      <c r="CA669" s="33" t="s">
        <v>1045</v>
      </c>
      <c r="CB669" s="33" t="s">
        <v>172</v>
      </c>
      <c r="CC669" s="33" t="s">
        <v>152</v>
      </c>
      <c r="CD669" s="33" t="s">
        <v>124</v>
      </c>
      <c r="CE669" s="33"/>
      <c r="CF669" s="33"/>
      <c r="CG669" s="33"/>
      <c r="CH669" s="33"/>
      <c r="CL669">
        <v>5</v>
      </c>
    </row>
    <row r="670" spans="1:90">
      <c r="A670" t="s">
        <v>949</v>
      </c>
      <c r="B670" t="s">
        <v>151</v>
      </c>
      <c r="C670" t="s">
        <v>149</v>
      </c>
      <c r="D670" t="s">
        <v>118</v>
      </c>
      <c r="E670" t="s">
        <v>167</v>
      </c>
      <c r="I670" t="s">
        <v>156</v>
      </c>
      <c r="J670" t="s">
        <v>156</v>
      </c>
      <c r="K670" t="s">
        <v>192</v>
      </c>
      <c r="L670">
        <v>4</v>
      </c>
      <c r="CA670" s="33" t="s">
        <v>1037</v>
      </c>
      <c r="CB670" s="33" t="s">
        <v>172</v>
      </c>
      <c r="CC670" s="33" t="s">
        <v>149</v>
      </c>
      <c r="CD670" s="33" t="s">
        <v>118</v>
      </c>
      <c r="CE670" s="33"/>
      <c r="CF670" s="33"/>
      <c r="CG670" s="33"/>
      <c r="CH670" s="33"/>
      <c r="CL670">
        <v>5</v>
      </c>
    </row>
    <row r="671" spans="1:90">
      <c r="A671" t="s">
        <v>950</v>
      </c>
      <c r="B671" t="s">
        <v>151</v>
      </c>
      <c r="C671" t="s">
        <v>152</v>
      </c>
      <c r="D671" t="s">
        <v>118</v>
      </c>
      <c r="F671" t="s">
        <v>163</v>
      </c>
      <c r="H671" t="s">
        <v>164</v>
      </c>
      <c r="L671">
        <v>4</v>
      </c>
      <c r="CA671" s="33" t="s">
        <v>1046</v>
      </c>
      <c r="CB671" s="33" t="s">
        <v>172</v>
      </c>
      <c r="CC671" s="33" t="s">
        <v>149</v>
      </c>
      <c r="CD671" s="33" t="s">
        <v>118</v>
      </c>
      <c r="CE671" s="33"/>
      <c r="CF671" s="33"/>
      <c r="CG671" s="33"/>
      <c r="CH671" s="33"/>
      <c r="CL671">
        <v>5</v>
      </c>
    </row>
    <row r="672" spans="1:90">
      <c r="A672" s="33" t="s">
        <v>951</v>
      </c>
      <c r="B672" s="33" t="s">
        <v>175</v>
      </c>
      <c r="C672" s="33" t="s">
        <v>117</v>
      </c>
      <c r="D672" s="33" t="s">
        <v>118</v>
      </c>
      <c r="E672" s="33" t="s">
        <v>952</v>
      </c>
      <c r="F672" s="33" t="s">
        <v>370</v>
      </c>
      <c r="G672" s="33" t="s">
        <v>370</v>
      </c>
      <c r="H672" s="33" t="s">
        <v>164</v>
      </c>
      <c r="I672" t="s">
        <v>168</v>
      </c>
      <c r="J672" t="s">
        <v>168</v>
      </c>
      <c r="K672" t="s">
        <v>953</v>
      </c>
      <c r="L672">
        <v>4</v>
      </c>
      <c r="CA672" s="33" t="s">
        <v>1047</v>
      </c>
      <c r="CB672" s="33" t="s">
        <v>172</v>
      </c>
      <c r="CC672" s="33" t="s">
        <v>152</v>
      </c>
      <c r="CD672" s="33" t="s">
        <v>118</v>
      </c>
      <c r="CE672" s="33"/>
      <c r="CF672" s="33"/>
      <c r="CG672" s="33"/>
      <c r="CH672" s="33"/>
      <c r="CL672">
        <v>5</v>
      </c>
    </row>
    <row r="673" spans="1:90">
      <c r="A673" t="s">
        <v>954</v>
      </c>
      <c r="B673" t="s">
        <v>160</v>
      </c>
      <c r="C673" t="s">
        <v>117</v>
      </c>
      <c r="D673" t="s">
        <v>118</v>
      </c>
      <c r="F673" t="s">
        <v>163</v>
      </c>
      <c r="H673" t="s">
        <v>164</v>
      </c>
      <c r="L673">
        <v>4</v>
      </c>
      <c r="CA673" s="33" t="s">
        <v>1048</v>
      </c>
      <c r="CB673" s="33" t="s">
        <v>172</v>
      </c>
      <c r="CC673" s="33" t="s">
        <v>149</v>
      </c>
      <c r="CD673" s="33" t="s">
        <v>118</v>
      </c>
      <c r="CE673" s="33"/>
      <c r="CF673" s="33"/>
      <c r="CG673" s="33"/>
      <c r="CH673" s="33"/>
      <c r="CL673">
        <v>5</v>
      </c>
    </row>
    <row r="674" spans="1:90">
      <c r="A674" t="s">
        <v>955</v>
      </c>
      <c r="B674" t="s">
        <v>162</v>
      </c>
      <c r="C674" t="s">
        <v>152</v>
      </c>
      <c r="D674" t="s">
        <v>118</v>
      </c>
      <c r="F674" t="s">
        <v>163</v>
      </c>
      <c r="H674" t="s">
        <v>164</v>
      </c>
      <c r="L674">
        <v>4</v>
      </c>
      <c r="CA674" s="33" t="s">
        <v>1049</v>
      </c>
      <c r="CB674" s="33" t="s">
        <v>172</v>
      </c>
      <c r="CC674" s="33" t="s">
        <v>152</v>
      </c>
      <c r="CD674" s="33" t="s">
        <v>118</v>
      </c>
      <c r="CE674" s="33"/>
      <c r="CF674" s="33"/>
      <c r="CG674" s="33"/>
      <c r="CH674" s="33"/>
      <c r="CL674">
        <v>5</v>
      </c>
    </row>
    <row r="675" spans="1:90">
      <c r="A675" t="s">
        <v>956</v>
      </c>
      <c r="B675" t="s">
        <v>151</v>
      </c>
      <c r="C675" t="s">
        <v>152</v>
      </c>
      <c r="D675" t="s">
        <v>132</v>
      </c>
      <c r="E675" t="s">
        <v>167</v>
      </c>
      <c r="I675" t="s">
        <v>221</v>
      </c>
      <c r="J675" t="s">
        <v>189</v>
      </c>
      <c r="K675" t="s">
        <v>957</v>
      </c>
      <c r="L675">
        <v>4</v>
      </c>
      <c r="CA675" s="33" t="s">
        <v>1050</v>
      </c>
      <c r="CB675" s="33" t="s">
        <v>172</v>
      </c>
      <c r="CC675" s="33" t="s">
        <v>152</v>
      </c>
      <c r="CD675" s="33" t="s">
        <v>124</v>
      </c>
      <c r="CE675" s="33"/>
      <c r="CF675" s="33"/>
      <c r="CG675" s="33"/>
      <c r="CH675" s="33"/>
      <c r="CL675">
        <v>5</v>
      </c>
    </row>
    <row r="676" spans="1:90">
      <c r="A676" t="s">
        <v>958</v>
      </c>
      <c r="B676" t="s">
        <v>175</v>
      </c>
      <c r="C676" t="s">
        <v>152</v>
      </c>
      <c r="D676" t="s">
        <v>118</v>
      </c>
      <c r="F676" t="s">
        <v>163</v>
      </c>
      <c r="G676" t="s">
        <v>163</v>
      </c>
      <c r="H676" t="s">
        <v>164</v>
      </c>
      <c r="L676">
        <v>4</v>
      </c>
      <c r="CA676" s="33" t="s">
        <v>1051</v>
      </c>
      <c r="CB676" s="33" t="s">
        <v>172</v>
      </c>
      <c r="CC676" s="33" t="s">
        <v>152</v>
      </c>
      <c r="CD676" s="33" t="s">
        <v>118</v>
      </c>
      <c r="CE676" s="33"/>
      <c r="CF676" s="33"/>
      <c r="CG676" s="33"/>
      <c r="CH676" s="33"/>
      <c r="CL676">
        <v>5</v>
      </c>
    </row>
    <row r="677" spans="1:90">
      <c r="A677" t="s">
        <v>959</v>
      </c>
      <c r="B677" t="s">
        <v>175</v>
      </c>
      <c r="C677" t="s">
        <v>152</v>
      </c>
      <c r="D677" t="s">
        <v>124</v>
      </c>
      <c r="F677" t="s">
        <v>163</v>
      </c>
      <c r="H677" t="s">
        <v>164</v>
      </c>
      <c r="L677">
        <v>4</v>
      </c>
      <c r="CA677" s="33" t="s">
        <v>1052</v>
      </c>
      <c r="CB677" s="33" t="s">
        <v>172</v>
      </c>
      <c r="CC677" s="33" t="s">
        <v>149</v>
      </c>
      <c r="CD677" s="33" t="s">
        <v>118</v>
      </c>
      <c r="CE677" s="33"/>
      <c r="CF677" s="33"/>
      <c r="CG677" s="33"/>
      <c r="CH677" s="33"/>
      <c r="CL677">
        <v>5</v>
      </c>
    </row>
    <row r="678" spans="1:90">
      <c r="A678" s="33" t="s">
        <v>960</v>
      </c>
      <c r="B678" s="33" t="s">
        <v>172</v>
      </c>
      <c r="C678" s="33" t="s">
        <v>216</v>
      </c>
      <c r="D678" s="33" t="s">
        <v>124</v>
      </c>
      <c r="E678" s="33"/>
      <c r="F678" s="33"/>
      <c r="G678" s="33"/>
      <c r="H678" s="33"/>
      <c r="L678">
        <v>4</v>
      </c>
      <c r="CA678" s="33" t="s">
        <v>1053</v>
      </c>
      <c r="CB678" s="33" t="s">
        <v>172</v>
      </c>
      <c r="CC678" s="33" t="s">
        <v>152</v>
      </c>
      <c r="CD678" s="33" t="s">
        <v>118</v>
      </c>
      <c r="CE678" s="33"/>
      <c r="CF678" s="33"/>
      <c r="CG678" s="33"/>
      <c r="CH678" s="33"/>
      <c r="CL678">
        <v>5</v>
      </c>
    </row>
    <row r="679" spans="1:90">
      <c r="A679" t="s">
        <v>961</v>
      </c>
      <c r="B679" t="s">
        <v>279</v>
      </c>
      <c r="C679" t="s">
        <v>149</v>
      </c>
      <c r="D679" t="s">
        <v>118</v>
      </c>
      <c r="L679">
        <v>4</v>
      </c>
      <c r="CA679" s="33" t="s">
        <v>1054</v>
      </c>
      <c r="CB679" s="33" t="s">
        <v>172</v>
      </c>
      <c r="CC679" s="33" t="s">
        <v>149</v>
      </c>
      <c r="CD679" s="33" t="s">
        <v>124</v>
      </c>
      <c r="CE679" s="33"/>
      <c r="CF679" s="33"/>
      <c r="CG679" s="33"/>
      <c r="CH679" s="33"/>
      <c r="CL679">
        <v>5</v>
      </c>
    </row>
    <row r="680" spans="1:90">
      <c r="A680" t="s">
        <v>962</v>
      </c>
      <c r="B680" t="s">
        <v>279</v>
      </c>
      <c r="C680" t="s">
        <v>152</v>
      </c>
      <c r="D680" t="s">
        <v>118</v>
      </c>
      <c r="L680">
        <v>4</v>
      </c>
      <c r="CA680" s="33" t="s">
        <v>1055</v>
      </c>
      <c r="CB680" s="33" t="s">
        <v>172</v>
      </c>
      <c r="CC680" s="33" t="s">
        <v>149</v>
      </c>
      <c r="CD680" s="33" t="s">
        <v>118</v>
      </c>
      <c r="CE680" s="33"/>
      <c r="CF680" s="33"/>
      <c r="CG680" s="33"/>
      <c r="CH680" s="33"/>
      <c r="CL680">
        <v>5</v>
      </c>
    </row>
    <row r="681" spans="1:90">
      <c r="A681" t="s">
        <v>963</v>
      </c>
      <c r="B681" t="s">
        <v>279</v>
      </c>
      <c r="C681" t="s">
        <v>149</v>
      </c>
      <c r="D681" t="s">
        <v>118</v>
      </c>
      <c r="L681">
        <v>4</v>
      </c>
      <c r="CA681" s="33" t="s">
        <v>1056</v>
      </c>
      <c r="CB681" s="33" t="s">
        <v>172</v>
      </c>
      <c r="CC681" s="33" t="s">
        <v>152</v>
      </c>
      <c r="CD681" s="33" t="s">
        <v>118</v>
      </c>
      <c r="CE681" s="33"/>
      <c r="CF681" s="33"/>
      <c r="CG681" s="33"/>
      <c r="CH681" s="33"/>
      <c r="CL681">
        <v>5</v>
      </c>
    </row>
    <row r="682" spans="1:90">
      <c r="A682" t="s">
        <v>964</v>
      </c>
      <c r="B682" t="s">
        <v>175</v>
      </c>
      <c r="C682" t="s">
        <v>152</v>
      </c>
      <c r="D682" t="s">
        <v>124</v>
      </c>
      <c r="F682" t="s">
        <v>370</v>
      </c>
      <c r="H682" t="s">
        <v>164</v>
      </c>
      <c r="L682">
        <v>4</v>
      </c>
      <c r="CA682" s="33" t="s">
        <v>1057</v>
      </c>
      <c r="CB682" s="33" t="s">
        <v>172</v>
      </c>
      <c r="CC682" s="33" t="s">
        <v>149</v>
      </c>
      <c r="CD682" s="33" t="s">
        <v>124</v>
      </c>
      <c r="CE682" s="33"/>
      <c r="CF682" s="33"/>
      <c r="CG682" s="33"/>
      <c r="CH682" s="33"/>
      <c r="CL682">
        <v>5</v>
      </c>
    </row>
    <row r="683" spans="1:90">
      <c r="A683" t="s">
        <v>965</v>
      </c>
      <c r="B683" t="s">
        <v>175</v>
      </c>
      <c r="C683" t="s">
        <v>149</v>
      </c>
      <c r="D683" t="s">
        <v>124</v>
      </c>
      <c r="L683">
        <v>4</v>
      </c>
      <c r="CA683" s="33" t="s">
        <v>1058</v>
      </c>
      <c r="CB683" s="33" t="s">
        <v>172</v>
      </c>
      <c r="CC683" s="33" t="s">
        <v>152</v>
      </c>
      <c r="CD683" s="33" t="s">
        <v>132</v>
      </c>
      <c r="CE683" s="33"/>
      <c r="CF683" s="33"/>
      <c r="CG683" s="33"/>
      <c r="CH683" s="33"/>
      <c r="CL683">
        <v>5</v>
      </c>
    </row>
    <row r="684" spans="1:90">
      <c r="A684" t="s">
        <v>966</v>
      </c>
      <c r="B684" t="s">
        <v>175</v>
      </c>
      <c r="C684" t="s">
        <v>149</v>
      </c>
      <c r="D684" t="s">
        <v>118</v>
      </c>
      <c r="L684">
        <v>4</v>
      </c>
      <c r="CA684" s="33" t="s">
        <v>1059</v>
      </c>
      <c r="CB684" s="33" t="s">
        <v>172</v>
      </c>
      <c r="CC684" s="33" t="s">
        <v>152</v>
      </c>
      <c r="CD684" s="33" t="s">
        <v>118</v>
      </c>
      <c r="CE684" s="33" t="s">
        <v>167</v>
      </c>
      <c r="CF684" s="33"/>
      <c r="CG684" s="33"/>
      <c r="CH684" s="33"/>
      <c r="CI684" t="s">
        <v>418</v>
      </c>
      <c r="CJ684" t="s">
        <v>221</v>
      </c>
      <c r="CK684" t="s">
        <v>1060</v>
      </c>
      <c r="CL684">
        <v>5</v>
      </c>
    </row>
    <row r="685" spans="1:90">
      <c r="A685" t="s">
        <v>967</v>
      </c>
      <c r="B685" t="s">
        <v>116</v>
      </c>
      <c r="C685" t="s">
        <v>152</v>
      </c>
      <c r="D685" t="s">
        <v>124</v>
      </c>
      <c r="F685" t="s">
        <v>370</v>
      </c>
      <c r="H685" t="s">
        <v>164</v>
      </c>
      <c r="L685">
        <v>4</v>
      </c>
      <c r="CA685" t="s">
        <v>1061</v>
      </c>
      <c r="CB685" t="s">
        <v>279</v>
      </c>
      <c r="CC685" t="s">
        <v>152</v>
      </c>
      <c r="CD685" t="s">
        <v>124</v>
      </c>
      <c r="CL685">
        <v>5</v>
      </c>
    </row>
    <row r="686" spans="1:90">
      <c r="A686" t="s">
        <v>968</v>
      </c>
      <c r="B686" t="s">
        <v>116</v>
      </c>
      <c r="C686" t="s">
        <v>120</v>
      </c>
      <c r="D686" t="s">
        <v>118</v>
      </c>
      <c r="L686">
        <v>4</v>
      </c>
      <c r="CA686" t="s">
        <v>1062</v>
      </c>
      <c r="CB686" t="s">
        <v>279</v>
      </c>
      <c r="CC686" t="s">
        <v>152</v>
      </c>
      <c r="CD686" t="s">
        <v>118</v>
      </c>
      <c r="CL686">
        <v>5</v>
      </c>
    </row>
    <row r="687" spans="1:90">
      <c r="A687" t="s">
        <v>969</v>
      </c>
      <c r="B687" t="s">
        <v>116</v>
      </c>
      <c r="C687" t="s">
        <v>120</v>
      </c>
      <c r="D687" t="s">
        <v>118</v>
      </c>
      <c r="L687">
        <v>4</v>
      </c>
      <c r="CA687" t="s">
        <v>1063</v>
      </c>
      <c r="CB687" t="s">
        <v>279</v>
      </c>
      <c r="CC687" t="s">
        <v>277</v>
      </c>
      <c r="CD687" t="s">
        <v>118</v>
      </c>
      <c r="CL687">
        <v>5</v>
      </c>
    </row>
    <row r="688" spans="1:90">
      <c r="A688" t="s">
        <v>970</v>
      </c>
      <c r="B688" t="s">
        <v>116</v>
      </c>
      <c r="C688" t="s">
        <v>216</v>
      </c>
      <c r="D688" t="s">
        <v>118</v>
      </c>
      <c r="L688">
        <v>4</v>
      </c>
      <c r="CA688" t="s">
        <v>1064</v>
      </c>
      <c r="CB688" t="s">
        <v>279</v>
      </c>
      <c r="CC688" t="s">
        <v>152</v>
      </c>
      <c r="CD688" t="s">
        <v>118</v>
      </c>
      <c r="CF688" t="s">
        <v>273</v>
      </c>
      <c r="CH688" t="s">
        <v>164</v>
      </c>
      <c r="CL688">
        <v>5</v>
      </c>
    </row>
    <row r="689" spans="1:90">
      <c r="A689" t="s">
        <v>971</v>
      </c>
      <c r="B689" t="s">
        <v>160</v>
      </c>
      <c r="C689" t="s">
        <v>120</v>
      </c>
      <c r="D689" t="s">
        <v>118</v>
      </c>
      <c r="L689">
        <v>4</v>
      </c>
      <c r="CA689" t="s">
        <v>1065</v>
      </c>
      <c r="CB689" t="s">
        <v>279</v>
      </c>
      <c r="CC689" t="s">
        <v>216</v>
      </c>
      <c r="CD689" t="s">
        <v>118</v>
      </c>
      <c r="CL689">
        <v>5</v>
      </c>
    </row>
    <row r="690" spans="1:90">
      <c r="A690" t="s">
        <v>972</v>
      </c>
      <c r="B690" t="s">
        <v>151</v>
      </c>
      <c r="C690" t="s">
        <v>152</v>
      </c>
      <c r="D690" t="s">
        <v>118</v>
      </c>
      <c r="L690">
        <v>4</v>
      </c>
      <c r="CA690" t="s">
        <v>1066</v>
      </c>
      <c r="CB690" t="s">
        <v>279</v>
      </c>
      <c r="CC690" t="s">
        <v>152</v>
      </c>
      <c r="CD690" t="s">
        <v>124</v>
      </c>
      <c r="CL690">
        <v>5</v>
      </c>
    </row>
    <row r="691" spans="1:90">
      <c r="A691" t="s">
        <v>973</v>
      </c>
      <c r="B691" t="s">
        <v>175</v>
      </c>
      <c r="C691" t="s">
        <v>152</v>
      </c>
      <c r="D691" t="s">
        <v>118</v>
      </c>
      <c r="F691" t="s">
        <v>163</v>
      </c>
      <c r="H691" t="s">
        <v>164</v>
      </c>
      <c r="L691">
        <v>4</v>
      </c>
      <c r="CA691" t="s">
        <v>1067</v>
      </c>
      <c r="CB691" t="s">
        <v>279</v>
      </c>
      <c r="CC691" t="s">
        <v>152</v>
      </c>
      <c r="CD691" t="s">
        <v>118</v>
      </c>
      <c r="CL691">
        <v>5</v>
      </c>
    </row>
    <row r="692" spans="1:90">
      <c r="A692" t="s">
        <v>974</v>
      </c>
      <c r="B692" t="s">
        <v>175</v>
      </c>
      <c r="C692" t="s">
        <v>152</v>
      </c>
      <c r="D692" t="s">
        <v>124</v>
      </c>
      <c r="F692" t="s">
        <v>163</v>
      </c>
      <c r="H692" t="s">
        <v>164</v>
      </c>
      <c r="L692">
        <v>4</v>
      </c>
      <c r="CA692" t="s">
        <v>1068</v>
      </c>
      <c r="CB692" t="s">
        <v>279</v>
      </c>
      <c r="CC692" t="s">
        <v>152</v>
      </c>
      <c r="CD692" t="s">
        <v>118</v>
      </c>
      <c r="CL692">
        <v>5</v>
      </c>
    </row>
    <row r="693" spans="1:90">
      <c r="A693" s="33" t="s">
        <v>975</v>
      </c>
      <c r="B693" s="33" t="s">
        <v>172</v>
      </c>
      <c r="C693" s="33" t="s">
        <v>216</v>
      </c>
      <c r="D693" s="33" t="s">
        <v>143</v>
      </c>
      <c r="E693" s="33"/>
      <c r="F693" s="33"/>
      <c r="G693" s="33"/>
      <c r="H693" s="33"/>
      <c r="L693">
        <v>4</v>
      </c>
      <c r="CA693" t="s">
        <v>1069</v>
      </c>
      <c r="CB693" t="s">
        <v>279</v>
      </c>
      <c r="CC693" t="s">
        <v>152</v>
      </c>
      <c r="CD693" t="s">
        <v>124</v>
      </c>
      <c r="CL693">
        <v>5</v>
      </c>
    </row>
    <row r="694" spans="1:90">
      <c r="A694" s="33" t="s">
        <v>976</v>
      </c>
      <c r="B694" s="33" t="s">
        <v>172</v>
      </c>
      <c r="C694" s="33" t="s">
        <v>277</v>
      </c>
      <c r="D694" s="33" t="s">
        <v>124</v>
      </c>
      <c r="E694" s="33"/>
      <c r="F694" s="33" t="s">
        <v>163</v>
      </c>
      <c r="G694" s="33"/>
      <c r="H694" s="33" t="s">
        <v>164</v>
      </c>
      <c r="L694">
        <v>4</v>
      </c>
      <c r="CA694" t="s">
        <v>1070</v>
      </c>
      <c r="CB694" t="s">
        <v>279</v>
      </c>
      <c r="CC694" t="s">
        <v>152</v>
      </c>
      <c r="CD694" t="s">
        <v>124</v>
      </c>
      <c r="CL694">
        <v>5</v>
      </c>
    </row>
    <row r="695" spans="1:90">
      <c r="A695" s="33" t="s">
        <v>977</v>
      </c>
      <c r="B695" s="33" t="s">
        <v>172</v>
      </c>
      <c r="C695" s="33" t="s">
        <v>152</v>
      </c>
      <c r="D695" s="33" t="s">
        <v>124</v>
      </c>
      <c r="E695" s="33"/>
      <c r="F695" s="33"/>
      <c r="G695" s="33"/>
      <c r="H695" s="33"/>
      <c r="L695">
        <v>4</v>
      </c>
      <c r="CA695" t="s">
        <v>1071</v>
      </c>
      <c r="CB695" t="s">
        <v>279</v>
      </c>
      <c r="CC695" t="s">
        <v>152</v>
      </c>
      <c r="CD695" t="s">
        <v>118</v>
      </c>
      <c r="CL695">
        <v>5</v>
      </c>
    </row>
    <row r="696" spans="1:90">
      <c r="A696" s="33" t="s">
        <v>978</v>
      </c>
      <c r="B696" s="33" t="s">
        <v>172</v>
      </c>
      <c r="C696" s="33" t="s">
        <v>216</v>
      </c>
      <c r="D696" s="33" t="s">
        <v>124</v>
      </c>
      <c r="E696" s="33"/>
      <c r="F696" s="33"/>
      <c r="G696" s="33"/>
      <c r="H696" s="33"/>
      <c r="L696">
        <v>4</v>
      </c>
      <c r="CA696" t="s">
        <v>1072</v>
      </c>
      <c r="CB696" t="s">
        <v>279</v>
      </c>
      <c r="CC696" t="s">
        <v>152</v>
      </c>
      <c r="CD696" t="s">
        <v>118</v>
      </c>
      <c r="CL696">
        <v>5</v>
      </c>
    </row>
    <row r="697" spans="1:90">
      <c r="A697" s="33" t="s">
        <v>979</v>
      </c>
      <c r="B697" s="33" t="s">
        <v>172</v>
      </c>
      <c r="C697" s="33" t="s">
        <v>149</v>
      </c>
      <c r="D697" s="33" t="s">
        <v>138</v>
      </c>
      <c r="E697" s="33"/>
      <c r="F697" s="33"/>
      <c r="G697" s="33"/>
      <c r="H697" s="33"/>
      <c r="L697">
        <v>4</v>
      </c>
      <c r="CA697" t="s">
        <v>1073</v>
      </c>
      <c r="CB697" t="s">
        <v>279</v>
      </c>
      <c r="CC697" t="s">
        <v>149</v>
      </c>
      <c r="CD697" t="s">
        <v>118</v>
      </c>
      <c r="CL697">
        <v>5</v>
      </c>
    </row>
    <row r="698" spans="1:90">
      <c r="A698" s="33" t="s">
        <v>980</v>
      </c>
      <c r="B698" s="33" t="s">
        <v>172</v>
      </c>
      <c r="C698" s="33" t="s">
        <v>152</v>
      </c>
      <c r="D698" s="33" t="s">
        <v>118</v>
      </c>
      <c r="E698" s="33"/>
      <c r="F698" s="33"/>
      <c r="G698" s="33"/>
      <c r="H698" s="33"/>
      <c r="L698">
        <v>4</v>
      </c>
      <c r="CA698" t="s">
        <v>1074</v>
      </c>
      <c r="CB698" t="s">
        <v>279</v>
      </c>
      <c r="CC698" t="s">
        <v>149</v>
      </c>
      <c r="CD698" t="s">
        <v>118</v>
      </c>
      <c r="CL698">
        <v>5</v>
      </c>
    </row>
    <row r="699" spans="1:90">
      <c r="A699" t="s">
        <v>981</v>
      </c>
      <c r="B699" t="s">
        <v>279</v>
      </c>
      <c r="C699" t="s">
        <v>216</v>
      </c>
      <c r="D699" t="s">
        <v>124</v>
      </c>
      <c r="L699">
        <v>4</v>
      </c>
      <c r="CA699" t="s">
        <v>1075</v>
      </c>
      <c r="CB699" t="s">
        <v>279</v>
      </c>
      <c r="CC699" t="s">
        <v>149</v>
      </c>
      <c r="CD699" t="s">
        <v>118</v>
      </c>
      <c r="CL699">
        <v>5</v>
      </c>
    </row>
    <row r="700" spans="1:90">
      <c r="A700" s="33" t="s">
        <v>982</v>
      </c>
      <c r="B700" s="33" t="s">
        <v>215</v>
      </c>
      <c r="C700" t="s">
        <v>149</v>
      </c>
      <c r="D700" t="s">
        <v>118</v>
      </c>
      <c r="F700" s="33" t="s">
        <v>745</v>
      </c>
      <c r="G700" s="33"/>
      <c r="H700" t="s">
        <v>164</v>
      </c>
      <c r="L700">
        <v>4</v>
      </c>
      <c r="CA700" t="s">
        <v>1076</v>
      </c>
      <c r="CB700" t="s">
        <v>215</v>
      </c>
      <c r="CC700" t="s">
        <v>216</v>
      </c>
      <c r="CD700" t="s">
        <v>124</v>
      </c>
      <c r="CF700" t="s">
        <v>273</v>
      </c>
      <c r="CH700" t="s">
        <v>164</v>
      </c>
      <c r="CL700">
        <v>5</v>
      </c>
    </row>
    <row r="701" spans="1:90">
      <c r="A701" t="s">
        <v>983</v>
      </c>
      <c r="B701" t="s">
        <v>215</v>
      </c>
      <c r="C701" t="s">
        <v>852</v>
      </c>
      <c r="D701" t="s">
        <v>132</v>
      </c>
      <c r="L701">
        <v>4</v>
      </c>
      <c r="CA701" t="s">
        <v>1077</v>
      </c>
      <c r="CB701" t="s">
        <v>215</v>
      </c>
      <c r="CC701" t="s">
        <v>152</v>
      </c>
      <c r="CD701" t="s">
        <v>118</v>
      </c>
      <c r="CL701">
        <v>5</v>
      </c>
    </row>
    <row r="702" spans="1:90">
      <c r="A702" t="s">
        <v>984</v>
      </c>
      <c r="B702" t="s">
        <v>175</v>
      </c>
      <c r="C702" t="s">
        <v>152</v>
      </c>
      <c r="D702" t="s">
        <v>118</v>
      </c>
      <c r="F702" t="s">
        <v>163</v>
      </c>
      <c r="H702" t="s">
        <v>164</v>
      </c>
      <c r="L702">
        <v>4</v>
      </c>
      <c r="CA702" t="s">
        <v>1078</v>
      </c>
      <c r="CB702" t="s">
        <v>215</v>
      </c>
      <c r="CC702" t="s">
        <v>152</v>
      </c>
      <c r="CD702" t="s">
        <v>118</v>
      </c>
      <c r="CL702">
        <v>5</v>
      </c>
    </row>
    <row r="703" spans="1:90">
      <c r="A703" t="s">
        <v>985</v>
      </c>
      <c r="B703" t="s">
        <v>175</v>
      </c>
      <c r="C703" t="s">
        <v>149</v>
      </c>
      <c r="D703" t="s">
        <v>124</v>
      </c>
      <c r="F703" t="s">
        <v>163</v>
      </c>
      <c r="H703" t="s">
        <v>164</v>
      </c>
      <c r="L703">
        <v>4</v>
      </c>
      <c r="CA703" t="s">
        <v>1079</v>
      </c>
      <c r="CB703" t="s">
        <v>215</v>
      </c>
      <c r="CC703" t="s">
        <v>149</v>
      </c>
      <c r="CD703" t="s">
        <v>124</v>
      </c>
      <c r="CF703" t="s">
        <v>273</v>
      </c>
      <c r="CH703" t="s">
        <v>164</v>
      </c>
      <c r="CL703">
        <v>5</v>
      </c>
    </row>
    <row r="704" spans="1:90">
      <c r="A704" t="s">
        <v>986</v>
      </c>
      <c r="B704" t="s">
        <v>116</v>
      </c>
      <c r="C704" t="s">
        <v>117</v>
      </c>
      <c r="D704" t="s">
        <v>118</v>
      </c>
      <c r="L704">
        <v>4</v>
      </c>
      <c r="CA704" t="s">
        <v>1080</v>
      </c>
      <c r="CB704" t="s">
        <v>215</v>
      </c>
      <c r="CC704" t="s">
        <v>152</v>
      </c>
      <c r="CD704" t="s">
        <v>118</v>
      </c>
      <c r="CL704">
        <v>5</v>
      </c>
    </row>
    <row r="705" spans="1:90">
      <c r="A705" t="s">
        <v>987</v>
      </c>
      <c r="B705" t="s">
        <v>175</v>
      </c>
      <c r="C705" t="s">
        <v>152</v>
      </c>
      <c r="D705" t="s">
        <v>145</v>
      </c>
      <c r="L705">
        <v>4</v>
      </c>
      <c r="CA705" t="s">
        <v>1081</v>
      </c>
      <c r="CB705" t="s">
        <v>215</v>
      </c>
      <c r="CC705" t="s">
        <v>149</v>
      </c>
      <c r="CD705" t="s">
        <v>124</v>
      </c>
      <c r="CL705">
        <v>5</v>
      </c>
    </row>
    <row r="706" spans="1:90">
      <c r="A706" t="s">
        <v>988</v>
      </c>
      <c r="B706" t="s">
        <v>116</v>
      </c>
      <c r="C706" t="s">
        <v>120</v>
      </c>
      <c r="D706" t="s">
        <v>118</v>
      </c>
      <c r="L706">
        <v>5</v>
      </c>
      <c r="CA706" t="s">
        <v>1082</v>
      </c>
      <c r="CB706" t="s">
        <v>215</v>
      </c>
      <c r="CC706" t="s">
        <v>149</v>
      </c>
      <c r="CD706" t="s">
        <v>124</v>
      </c>
      <c r="CF706" t="s">
        <v>273</v>
      </c>
      <c r="CH706" t="s">
        <v>164</v>
      </c>
      <c r="CL706">
        <v>5</v>
      </c>
    </row>
    <row r="707" spans="1:90">
      <c r="A707" t="s">
        <v>989</v>
      </c>
      <c r="B707" t="s">
        <v>116</v>
      </c>
      <c r="C707" t="s">
        <v>117</v>
      </c>
      <c r="D707" t="s">
        <v>118</v>
      </c>
      <c r="L707">
        <v>5</v>
      </c>
      <c r="CA707" t="s">
        <v>1083</v>
      </c>
      <c r="CB707" t="s">
        <v>215</v>
      </c>
      <c r="CC707" t="s">
        <v>149</v>
      </c>
      <c r="CD707" t="s">
        <v>124</v>
      </c>
      <c r="CL707">
        <v>5</v>
      </c>
    </row>
    <row r="708" spans="1:90">
      <c r="A708" t="s">
        <v>990</v>
      </c>
      <c r="B708" t="s">
        <v>160</v>
      </c>
      <c r="C708" t="s">
        <v>120</v>
      </c>
      <c r="D708" t="s">
        <v>118</v>
      </c>
      <c r="F708" t="s">
        <v>163</v>
      </c>
      <c r="H708" t="s">
        <v>164</v>
      </c>
      <c r="L708">
        <v>5</v>
      </c>
      <c r="CA708" t="s">
        <v>1084</v>
      </c>
      <c r="CB708" t="s">
        <v>215</v>
      </c>
      <c r="CC708" t="s">
        <v>149</v>
      </c>
      <c r="CD708" t="s">
        <v>124</v>
      </c>
      <c r="CL708">
        <v>5</v>
      </c>
    </row>
    <row r="709" spans="1:90">
      <c r="A709" t="s">
        <v>991</v>
      </c>
      <c r="B709" t="s">
        <v>175</v>
      </c>
      <c r="C709" t="s">
        <v>149</v>
      </c>
      <c r="D709" t="s">
        <v>118</v>
      </c>
      <c r="L709">
        <v>5</v>
      </c>
      <c r="CA709" t="s">
        <v>1085</v>
      </c>
      <c r="CB709" t="s">
        <v>215</v>
      </c>
      <c r="CC709" t="s">
        <v>152</v>
      </c>
      <c r="CD709" t="s">
        <v>118</v>
      </c>
      <c r="CF709" t="s">
        <v>745</v>
      </c>
      <c r="CH709" t="s">
        <v>164</v>
      </c>
      <c r="CL709">
        <v>5</v>
      </c>
    </row>
    <row r="710" spans="1:90">
      <c r="A710" s="33" t="s">
        <v>992</v>
      </c>
      <c r="B710" s="33" t="s">
        <v>172</v>
      </c>
      <c r="C710" s="33" t="s">
        <v>152</v>
      </c>
      <c r="D710" s="33" t="s">
        <v>124</v>
      </c>
      <c r="E710" s="33"/>
      <c r="F710" s="33"/>
      <c r="G710" s="33"/>
      <c r="H710" s="33"/>
      <c r="L710">
        <v>5</v>
      </c>
      <c r="CA710" t="s">
        <v>1086</v>
      </c>
      <c r="CB710" t="s">
        <v>215</v>
      </c>
      <c r="CC710" t="s">
        <v>149</v>
      </c>
      <c r="CD710" t="s">
        <v>118</v>
      </c>
      <c r="CL710">
        <v>5</v>
      </c>
    </row>
    <row r="711" spans="1:90">
      <c r="A711" s="33" t="s">
        <v>993</v>
      </c>
      <c r="B711" s="33" t="s">
        <v>172</v>
      </c>
      <c r="C711" s="33" t="s">
        <v>149</v>
      </c>
      <c r="D711" s="33" t="s">
        <v>118</v>
      </c>
      <c r="E711" s="33"/>
      <c r="F711" s="33"/>
      <c r="G711" s="33"/>
      <c r="H711" s="33"/>
      <c r="L711">
        <v>5</v>
      </c>
      <c r="CA711" t="s">
        <v>416</v>
      </c>
      <c r="CB711" t="s">
        <v>215</v>
      </c>
      <c r="CC711" t="s">
        <v>149</v>
      </c>
      <c r="CD711" t="s">
        <v>124</v>
      </c>
      <c r="CF711" t="s">
        <v>273</v>
      </c>
      <c r="CH711" t="s">
        <v>164</v>
      </c>
      <c r="CL711">
        <v>5</v>
      </c>
    </row>
    <row r="712" spans="1:90">
      <c r="A712" s="33" t="s">
        <v>994</v>
      </c>
      <c r="B712" s="33" t="s">
        <v>172</v>
      </c>
      <c r="C712" s="33" t="s">
        <v>152</v>
      </c>
      <c r="D712" s="33" t="s">
        <v>124</v>
      </c>
      <c r="E712" s="33"/>
      <c r="F712" s="33"/>
      <c r="G712" s="33"/>
      <c r="H712" s="33"/>
      <c r="L712">
        <v>5</v>
      </c>
      <c r="CA712" t="s">
        <v>1087</v>
      </c>
      <c r="CB712" t="s">
        <v>215</v>
      </c>
      <c r="CC712" t="s">
        <v>216</v>
      </c>
      <c r="CD712" t="s">
        <v>118</v>
      </c>
      <c r="CF712" t="s">
        <v>163</v>
      </c>
      <c r="CH712" t="s">
        <v>164</v>
      </c>
      <c r="CL712">
        <v>5</v>
      </c>
    </row>
    <row r="713" spans="1:90">
      <c r="A713" s="33" t="s">
        <v>995</v>
      </c>
      <c r="B713" s="33" t="s">
        <v>172</v>
      </c>
      <c r="C713" s="33" t="s">
        <v>152</v>
      </c>
      <c r="D713" s="33" t="s">
        <v>124</v>
      </c>
      <c r="E713" s="33"/>
      <c r="F713" s="33"/>
      <c r="G713" s="33"/>
      <c r="H713" s="33"/>
      <c r="L713">
        <v>5</v>
      </c>
      <c r="CA713" t="s">
        <v>1088</v>
      </c>
      <c r="CB713" t="s">
        <v>215</v>
      </c>
      <c r="CC713" t="s">
        <v>149</v>
      </c>
      <c r="CD713" t="s">
        <v>124</v>
      </c>
      <c r="CL713">
        <v>5</v>
      </c>
    </row>
    <row r="714" spans="1:90">
      <c r="A714" s="33" t="s">
        <v>996</v>
      </c>
      <c r="B714" s="33" t="s">
        <v>172</v>
      </c>
      <c r="C714" s="33" t="s">
        <v>152</v>
      </c>
      <c r="D714" s="33" t="s">
        <v>118</v>
      </c>
      <c r="E714" s="33"/>
      <c r="F714" s="33"/>
      <c r="G714" s="33"/>
      <c r="H714" s="33"/>
      <c r="L714">
        <v>5</v>
      </c>
      <c r="CA714" t="s">
        <v>1089</v>
      </c>
      <c r="CB714" t="s">
        <v>215</v>
      </c>
      <c r="CC714" t="s">
        <v>852</v>
      </c>
      <c r="CD714" t="s">
        <v>118</v>
      </c>
      <c r="CF714" t="s">
        <v>273</v>
      </c>
      <c r="CH714" t="s">
        <v>164</v>
      </c>
      <c r="CL714">
        <v>5</v>
      </c>
    </row>
    <row r="715" spans="1:90">
      <c r="A715" s="33" t="s">
        <v>997</v>
      </c>
      <c r="B715" s="33" t="s">
        <v>172</v>
      </c>
      <c r="C715" s="33" t="s">
        <v>149</v>
      </c>
      <c r="D715" s="33" t="s">
        <v>118</v>
      </c>
      <c r="E715" s="33"/>
      <c r="F715" s="33"/>
      <c r="G715" s="33"/>
      <c r="H715" s="33"/>
      <c r="L715">
        <v>5</v>
      </c>
      <c r="CA715" t="s">
        <v>1090</v>
      </c>
      <c r="CB715" t="s">
        <v>175</v>
      </c>
      <c r="CC715" t="s">
        <v>152</v>
      </c>
      <c r="CD715" t="s">
        <v>118</v>
      </c>
      <c r="CF715" t="s">
        <v>163</v>
      </c>
      <c r="CH715" t="s">
        <v>164</v>
      </c>
      <c r="CL715">
        <v>5</v>
      </c>
    </row>
    <row r="716" spans="1:90">
      <c r="A716" s="33" t="s">
        <v>998</v>
      </c>
      <c r="B716" s="33" t="s">
        <v>172</v>
      </c>
      <c r="C716" s="33" t="s">
        <v>216</v>
      </c>
      <c r="D716" s="33" t="s">
        <v>132</v>
      </c>
      <c r="E716" s="33"/>
      <c r="F716" s="33"/>
      <c r="G716" s="33"/>
      <c r="H716" s="33"/>
      <c r="L716">
        <v>5</v>
      </c>
      <c r="CA716" t="s">
        <v>1091</v>
      </c>
      <c r="CB716" t="s">
        <v>175</v>
      </c>
      <c r="CC716" t="s">
        <v>149</v>
      </c>
      <c r="CD716" t="s">
        <v>118</v>
      </c>
      <c r="CL716">
        <v>5</v>
      </c>
    </row>
    <row r="717" spans="1:90">
      <c r="A717" t="s">
        <v>999</v>
      </c>
      <c r="B717" t="s">
        <v>279</v>
      </c>
      <c r="C717" t="s">
        <v>152</v>
      </c>
      <c r="D717" t="s">
        <v>124</v>
      </c>
      <c r="L717">
        <v>5</v>
      </c>
      <c r="CA717" t="s">
        <v>1092</v>
      </c>
      <c r="CB717" t="s">
        <v>175</v>
      </c>
      <c r="CC717" t="s">
        <v>152</v>
      </c>
      <c r="CD717" t="s">
        <v>124</v>
      </c>
      <c r="CF717" t="s">
        <v>163</v>
      </c>
      <c r="CH717" t="s">
        <v>164</v>
      </c>
      <c r="CL717">
        <v>5</v>
      </c>
    </row>
    <row r="718" spans="1:90">
      <c r="A718" t="s">
        <v>1000</v>
      </c>
      <c r="B718" t="s">
        <v>279</v>
      </c>
      <c r="C718" t="s">
        <v>152</v>
      </c>
      <c r="D718" t="s">
        <v>124</v>
      </c>
      <c r="F718" t="s">
        <v>273</v>
      </c>
      <c r="H718" t="s">
        <v>164</v>
      </c>
      <c r="L718">
        <v>5</v>
      </c>
      <c r="CA718" t="s">
        <v>1093</v>
      </c>
      <c r="CB718" t="s">
        <v>175</v>
      </c>
      <c r="CC718" t="s">
        <v>152</v>
      </c>
      <c r="CD718" t="s">
        <v>124</v>
      </c>
      <c r="CF718" t="s">
        <v>163</v>
      </c>
      <c r="CH718" t="s">
        <v>164</v>
      </c>
      <c r="CL718">
        <v>5</v>
      </c>
    </row>
    <row r="719" spans="1:90">
      <c r="A719" t="s">
        <v>1001</v>
      </c>
      <c r="B719" t="s">
        <v>215</v>
      </c>
      <c r="C719" t="s">
        <v>149</v>
      </c>
      <c r="D719" t="s">
        <v>124</v>
      </c>
      <c r="E719" t="s">
        <v>167</v>
      </c>
      <c r="I719" t="s">
        <v>186</v>
      </c>
      <c r="J719" t="s">
        <v>181</v>
      </c>
      <c r="K719" t="s">
        <v>1002</v>
      </c>
      <c r="L719">
        <v>5</v>
      </c>
      <c r="CA719" t="s">
        <v>1094</v>
      </c>
      <c r="CB719" t="s">
        <v>175</v>
      </c>
      <c r="CC719" t="s">
        <v>152</v>
      </c>
      <c r="CD719" t="s">
        <v>124</v>
      </c>
      <c r="CL719">
        <v>5</v>
      </c>
    </row>
    <row r="720" spans="1:90">
      <c r="A720" t="s">
        <v>1003</v>
      </c>
      <c r="B720" t="s">
        <v>175</v>
      </c>
      <c r="C720" t="s">
        <v>149</v>
      </c>
      <c r="D720" t="s">
        <v>118</v>
      </c>
      <c r="L720">
        <v>5</v>
      </c>
      <c r="CA720" t="s">
        <v>1095</v>
      </c>
      <c r="CB720" t="s">
        <v>175</v>
      </c>
      <c r="CC720" t="s">
        <v>152</v>
      </c>
      <c r="CD720" t="s">
        <v>118</v>
      </c>
      <c r="CF720" t="s">
        <v>163</v>
      </c>
      <c r="CH720" t="s">
        <v>164</v>
      </c>
      <c r="CL720">
        <v>5</v>
      </c>
    </row>
    <row r="721" spans="1:90">
      <c r="A721" s="33" t="s">
        <v>1004</v>
      </c>
      <c r="B721" s="33" t="s">
        <v>172</v>
      </c>
      <c r="C721" s="33" t="s">
        <v>149</v>
      </c>
      <c r="D721" s="33" t="s">
        <v>118</v>
      </c>
      <c r="E721" s="33"/>
      <c r="F721" s="33"/>
      <c r="G721" s="33"/>
      <c r="H721" s="33"/>
      <c r="L721">
        <v>5</v>
      </c>
      <c r="CA721" t="s">
        <v>1096</v>
      </c>
      <c r="CB721" t="s">
        <v>175</v>
      </c>
      <c r="CC721" t="s">
        <v>152</v>
      </c>
      <c r="CD721" t="s">
        <v>124</v>
      </c>
      <c r="CL721">
        <v>5</v>
      </c>
    </row>
    <row r="722" spans="1:90">
      <c r="A722" s="33" t="s">
        <v>1005</v>
      </c>
      <c r="B722" s="33" t="s">
        <v>172</v>
      </c>
      <c r="C722" s="33" t="s">
        <v>152</v>
      </c>
      <c r="D722" s="33" t="s">
        <v>132</v>
      </c>
      <c r="E722" s="33"/>
      <c r="F722" s="33"/>
      <c r="G722" s="33"/>
      <c r="H722" s="33"/>
      <c r="L722">
        <v>5</v>
      </c>
      <c r="CA722" t="s">
        <v>1097</v>
      </c>
      <c r="CB722" t="s">
        <v>116</v>
      </c>
      <c r="CC722" t="s">
        <v>152</v>
      </c>
      <c r="CD722" t="s">
        <v>118</v>
      </c>
      <c r="CF722" t="s">
        <v>370</v>
      </c>
      <c r="CH722" t="s">
        <v>164</v>
      </c>
    </row>
    <row r="723" spans="1:90">
      <c r="A723" s="33" t="s">
        <v>1006</v>
      </c>
      <c r="B723" s="33" t="s">
        <v>172</v>
      </c>
      <c r="C723" s="33" t="s">
        <v>277</v>
      </c>
      <c r="D723" s="33" t="s">
        <v>124</v>
      </c>
      <c r="E723" s="33"/>
      <c r="F723" s="33"/>
      <c r="G723" s="33"/>
      <c r="H723" s="33"/>
      <c r="L723">
        <v>5</v>
      </c>
      <c r="CA723" t="s">
        <v>1098</v>
      </c>
      <c r="CB723" t="s">
        <v>116</v>
      </c>
      <c r="CC723" t="s">
        <v>152</v>
      </c>
      <c r="CD723" t="s">
        <v>118</v>
      </c>
    </row>
    <row r="724" spans="1:90">
      <c r="A724" s="33" t="s">
        <v>1007</v>
      </c>
      <c r="B724" s="33" t="s">
        <v>172</v>
      </c>
      <c r="C724" s="33" t="s">
        <v>152</v>
      </c>
      <c r="D724" s="33" t="s">
        <v>124</v>
      </c>
      <c r="E724" s="33"/>
      <c r="F724" s="33"/>
      <c r="G724" s="33"/>
      <c r="H724" s="33"/>
      <c r="L724">
        <v>5</v>
      </c>
      <c r="CA724" t="s">
        <v>1099</v>
      </c>
      <c r="CB724" t="s">
        <v>116</v>
      </c>
      <c r="CC724" t="s">
        <v>152</v>
      </c>
      <c r="CD724" t="s">
        <v>138</v>
      </c>
    </row>
    <row r="725" spans="1:90">
      <c r="A725" t="s">
        <v>1008</v>
      </c>
      <c r="B725" t="s">
        <v>279</v>
      </c>
      <c r="C725" t="s">
        <v>216</v>
      </c>
      <c r="D725" t="s">
        <v>124</v>
      </c>
      <c r="L725">
        <v>5</v>
      </c>
      <c r="CA725" t="s">
        <v>470</v>
      </c>
      <c r="CB725" t="s">
        <v>116</v>
      </c>
      <c r="CC725" t="s">
        <v>149</v>
      </c>
      <c r="CD725" t="s">
        <v>118</v>
      </c>
    </row>
    <row r="726" spans="1:90">
      <c r="A726" t="s">
        <v>1009</v>
      </c>
      <c r="B726" t="s">
        <v>279</v>
      </c>
      <c r="C726" t="s">
        <v>216</v>
      </c>
      <c r="D726" t="s">
        <v>124</v>
      </c>
      <c r="L726">
        <v>5</v>
      </c>
      <c r="CA726" t="s">
        <v>1100</v>
      </c>
      <c r="CB726" t="s">
        <v>116</v>
      </c>
      <c r="CC726" t="s">
        <v>152</v>
      </c>
      <c r="CD726" t="s">
        <v>118</v>
      </c>
    </row>
    <row r="727" spans="1:90">
      <c r="A727" t="s">
        <v>1010</v>
      </c>
      <c r="B727" t="s">
        <v>175</v>
      </c>
      <c r="C727" t="s">
        <v>149</v>
      </c>
      <c r="D727" t="s">
        <v>118</v>
      </c>
      <c r="L727">
        <v>5</v>
      </c>
      <c r="CA727" t="s">
        <v>1101</v>
      </c>
      <c r="CB727" t="s">
        <v>116</v>
      </c>
      <c r="CC727" t="s">
        <v>152</v>
      </c>
      <c r="CD727" t="s">
        <v>118</v>
      </c>
    </row>
    <row r="728" spans="1:90">
      <c r="A728" t="s">
        <v>1011</v>
      </c>
      <c r="B728" t="s">
        <v>175</v>
      </c>
      <c r="C728" t="s">
        <v>149</v>
      </c>
      <c r="D728" t="s">
        <v>124</v>
      </c>
      <c r="L728">
        <v>5</v>
      </c>
      <c r="CA728" t="s">
        <v>1102</v>
      </c>
      <c r="CB728" t="s">
        <v>116</v>
      </c>
      <c r="CC728" t="s">
        <v>152</v>
      </c>
      <c r="CD728" t="s">
        <v>118</v>
      </c>
    </row>
    <row r="729" spans="1:90">
      <c r="A729" t="s">
        <v>1012</v>
      </c>
      <c r="B729" t="s">
        <v>116</v>
      </c>
      <c r="C729" t="s">
        <v>117</v>
      </c>
      <c r="D729" t="s">
        <v>124</v>
      </c>
      <c r="L729">
        <v>5</v>
      </c>
      <c r="CA729" t="s">
        <v>1103</v>
      </c>
      <c r="CB729" t="s">
        <v>116</v>
      </c>
      <c r="CC729" t="s">
        <v>149</v>
      </c>
      <c r="CD729" t="s">
        <v>124</v>
      </c>
    </row>
    <row r="730" spans="1:90">
      <c r="A730" t="s">
        <v>1013</v>
      </c>
      <c r="B730" t="s">
        <v>116</v>
      </c>
      <c r="C730" t="s">
        <v>117</v>
      </c>
      <c r="D730" t="s">
        <v>118</v>
      </c>
      <c r="L730">
        <v>5</v>
      </c>
      <c r="CA730" t="s">
        <v>1104</v>
      </c>
      <c r="CB730" t="s">
        <v>116</v>
      </c>
      <c r="CC730" t="s">
        <v>152</v>
      </c>
      <c r="CD730" t="s">
        <v>118</v>
      </c>
    </row>
    <row r="731" spans="1:90">
      <c r="A731" t="s">
        <v>1014</v>
      </c>
      <c r="B731" t="s">
        <v>116</v>
      </c>
      <c r="C731" t="s">
        <v>117</v>
      </c>
      <c r="D731" t="s">
        <v>138</v>
      </c>
      <c r="L731">
        <v>5</v>
      </c>
      <c r="CA731" t="s">
        <v>1105</v>
      </c>
      <c r="CB731" t="s">
        <v>151</v>
      </c>
      <c r="CC731" t="s">
        <v>152</v>
      </c>
      <c r="CD731" t="s">
        <v>132</v>
      </c>
      <c r="CK731" t="s">
        <v>1106</v>
      </c>
    </row>
    <row r="732" spans="1:90">
      <c r="A732" t="s">
        <v>1015</v>
      </c>
      <c r="B732" t="s">
        <v>116</v>
      </c>
      <c r="C732" t="s">
        <v>120</v>
      </c>
      <c r="D732" t="s">
        <v>118</v>
      </c>
      <c r="L732">
        <v>5</v>
      </c>
      <c r="CA732" t="s">
        <v>1107</v>
      </c>
      <c r="CB732" t="s">
        <v>151</v>
      </c>
      <c r="CC732" t="s">
        <v>152</v>
      </c>
      <c r="CD732" t="s">
        <v>118</v>
      </c>
      <c r="CK732" t="s">
        <v>1108</v>
      </c>
    </row>
    <row r="733" spans="1:90">
      <c r="A733" t="s">
        <v>1016</v>
      </c>
      <c r="B733" t="s">
        <v>116</v>
      </c>
      <c r="C733" t="s">
        <v>277</v>
      </c>
      <c r="D733" t="s">
        <v>124</v>
      </c>
      <c r="L733">
        <v>5</v>
      </c>
      <c r="CA733" t="s">
        <v>1113</v>
      </c>
      <c r="CB733" t="s">
        <v>151</v>
      </c>
      <c r="CC733" t="s">
        <v>152</v>
      </c>
      <c r="CD733" t="s">
        <v>124</v>
      </c>
      <c r="CJ733" t="s">
        <v>156</v>
      </c>
      <c r="CK733" t="s">
        <v>1114</v>
      </c>
    </row>
    <row r="734" spans="1:90">
      <c r="A734" t="s">
        <v>1017</v>
      </c>
      <c r="B734" t="s">
        <v>116</v>
      </c>
      <c r="C734" t="s">
        <v>152</v>
      </c>
      <c r="D734" t="s">
        <v>118</v>
      </c>
      <c r="F734" t="s">
        <v>370</v>
      </c>
      <c r="H734" t="s">
        <v>164</v>
      </c>
      <c r="L734">
        <v>5</v>
      </c>
      <c r="CA734" t="s">
        <v>1115</v>
      </c>
      <c r="CB734" t="s">
        <v>151</v>
      </c>
      <c r="CC734" t="s">
        <v>152</v>
      </c>
      <c r="CD734" t="s">
        <v>118</v>
      </c>
      <c r="CE734" t="s">
        <v>167</v>
      </c>
      <c r="CJ734" t="s">
        <v>156</v>
      </c>
      <c r="CK734" t="s">
        <v>192</v>
      </c>
    </row>
    <row r="735" spans="1:90">
      <c r="A735" t="s">
        <v>1018</v>
      </c>
      <c r="B735" t="s">
        <v>116</v>
      </c>
      <c r="C735" t="s">
        <v>152</v>
      </c>
      <c r="D735" t="s">
        <v>124</v>
      </c>
      <c r="F735" t="s">
        <v>370</v>
      </c>
      <c r="H735" t="s">
        <v>164</v>
      </c>
      <c r="L735">
        <v>5</v>
      </c>
      <c r="CA735" t="s">
        <v>1117</v>
      </c>
      <c r="CB735" t="s">
        <v>151</v>
      </c>
      <c r="CC735" t="s">
        <v>149</v>
      </c>
      <c r="CD735" t="s">
        <v>118</v>
      </c>
      <c r="CE735" t="s">
        <v>167</v>
      </c>
      <c r="CI735" t="s">
        <v>181</v>
      </c>
      <c r="CJ735" t="s">
        <v>181</v>
      </c>
      <c r="CK735" t="s">
        <v>1118</v>
      </c>
    </row>
    <row r="736" spans="1:90">
      <c r="A736" t="s">
        <v>1019</v>
      </c>
      <c r="B736" t="s">
        <v>116</v>
      </c>
      <c r="C736" t="s">
        <v>152</v>
      </c>
      <c r="D736" t="s">
        <v>118</v>
      </c>
      <c r="F736" t="s">
        <v>370</v>
      </c>
      <c r="H736" t="s">
        <v>164</v>
      </c>
      <c r="L736">
        <v>5</v>
      </c>
      <c r="CA736" t="s">
        <v>317</v>
      </c>
      <c r="CB736" t="s">
        <v>151</v>
      </c>
      <c r="CC736" t="s">
        <v>277</v>
      </c>
      <c r="CD736" t="s">
        <v>124</v>
      </c>
      <c r="CK736" t="s">
        <v>1123</v>
      </c>
      <c r="CL736">
        <v>1</v>
      </c>
    </row>
    <row r="737" spans="1:90">
      <c r="A737" t="s">
        <v>1020</v>
      </c>
      <c r="B737" t="s">
        <v>160</v>
      </c>
      <c r="C737" t="s">
        <v>120</v>
      </c>
      <c r="D737" t="s">
        <v>138</v>
      </c>
      <c r="L737">
        <v>5</v>
      </c>
      <c r="CA737" t="s">
        <v>1126</v>
      </c>
      <c r="CB737" t="s">
        <v>160</v>
      </c>
      <c r="CC737" t="s">
        <v>117</v>
      </c>
      <c r="CD737" t="s">
        <v>124</v>
      </c>
      <c r="CE737" t="s">
        <v>1127</v>
      </c>
      <c r="CI737" t="s">
        <v>221</v>
      </c>
      <c r="CJ737" t="s">
        <v>221</v>
      </c>
      <c r="CK737" t="s">
        <v>347</v>
      </c>
    </row>
    <row r="738" spans="1:90">
      <c r="A738" t="s">
        <v>1021</v>
      </c>
      <c r="B738" t="s">
        <v>175</v>
      </c>
      <c r="C738" t="s">
        <v>152</v>
      </c>
      <c r="D738" t="s">
        <v>118</v>
      </c>
      <c r="F738" t="s">
        <v>163</v>
      </c>
      <c r="G738" t="s">
        <v>273</v>
      </c>
      <c r="H738" t="s">
        <v>164</v>
      </c>
      <c r="L738">
        <v>5</v>
      </c>
      <c r="CA738" t="s">
        <v>1129</v>
      </c>
      <c r="CB738" t="s">
        <v>160</v>
      </c>
      <c r="CC738" t="s">
        <v>120</v>
      </c>
      <c r="CD738" t="s">
        <v>138</v>
      </c>
      <c r="CK738" t="s">
        <v>1130</v>
      </c>
    </row>
    <row r="739" spans="1:90">
      <c r="A739" t="s">
        <v>1022</v>
      </c>
      <c r="B739" t="s">
        <v>175</v>
      </c>
      <c r="C739" t="s">
        <v>149</v>
      </c>
      <c r="D739" t="s">
        <v>132</v>
      </c>
      <c r="F739" t="s">
        <v>163</v>
      </c>
      <c r="G739" t="s">
        <v>273</v>
      </c>
      <c r="H739" t="s">
        <v>164</v>
      </c>
      <c r="L739">
        <v>5</v>
      </c>
      <c r="CA739" t="s">
        <v>1131</v>
      </c>
      <c r="CB739" t="s">
        <v>160</v>
      </c>
      <c r="CC739" t="s">
        <v>120</v>
      </c>
      <c r="CD739" t="s">
        <v>118</v>
      </c>
    </row>
    <row r="740" spans="1:90">
      <c r="A740" t="s">
        <v>1023</v>
      </c>
      <c r="B740" t="s">
        <v>175</v>
      </c>
      <c r="C740" t="s">
        <v>852</v>
      </c>
      <c r="D740" t="s">
        <v>118</v>
      </c>
      <c r="L740">
        <v>5</v>
      </c>
      <c r="CA740" t="s">
        <v>1132</v>
      </c>
      <c r="CB740" t="s">
        <v>162</v>
      </c>
      <c r="CC740" t="s">
        <v>149</v>
      </c>
      <c r="CD740" t="s">
        <v>118</v>
      </c>
      <c r="CL740">
        <v>2</v>
      </c>
    </row>
    <row r="741" spans="1:90">
      <c r="A741" t="s">
        <v>1024</v>
      </c>
      <c r="B741" t="s">
        <v>175</v>
      </c>
      <c r="C741" t="s">
        <v>852</v>
      </c>
      <c r="D741" t="s">
        <v>124</v>
      </c>
      <c r="F741" t="s">
        <v>163</v>
      </c>
      <c r="H741" t="s">
        <v>164</v>
      </c>
      <c r="L741">
        <v>5</v>
      </c>
      <c r="CA741" t="s">
        <v>1133</v>
      </c>
      <c r="CB741" t="s">
        <v>151</v>
      </c>
      <c r="CC741" t="s">
        <v>152</v>
      </c>
      <c r="CD741" t="s">
        <v>118</v>
      </c>
      <c r="CE741" t="s">
        <v>167</v>
      </c>
      <c r="CI741" t="s">
        <v>221</v>
      </c>
      <c r="CJ741" t="s">
        <v>221</v>
      </c>
      <c r="CK741" t="s">
        <v>1134</v>
      </c>
      <c r="CL741">
        <v>2</v>
      </c>
    </row>
    <row r="742" spans="1:90">
      <c r="A742" t="s">
        <v>1025</v>
      </c>
      <c r="B742" t="s">
        <v>175</v>
      </c>
      <c r="C742" t="s">
        <v>277</v>
      </c>
      <c r="D742" t="s">
        <v>124</v>
      </c>
      <c r="F742" t="s">
        <v>163</v>
      </c>
      <c r="H742" t="s">
        <v>164</v>
      </c>
      <c r="L742">
        <v>5</v>
      </c>
      <c r="CA742" t="s">
        <v>1135</v>
      </c>
      <c r="CB742" t="s">
        <v>151</v>
      </c>
      <c r="CC742" t="s">
        <v>152</v>
      </c>
      <c r="CD742" t="s">
        <v>124</v>
      </c>
      <c r="CL742">
        <v>1</v>
      </c>
    </row>
    <row r="743" spans="1:90">
      <c r="A743" t="s">
        <v>1026</v>
      </c>
      <c r="B743" t="s">
        <v>175</v>
      </c>
      <c r="C743" t="s">
        <v>277</v>
      </c>
      <c r="D743" t="s">
        <v>124</v>
      </c>
      <c r="F743" t="s">
        <v>163</v>
      </c>
      <c r="H743" t="s">
        <v>164</v>
      </c>
      <c r="L743">
        <v>5</v>
      </c>
      <c r="CA743" t="s">
        <v>1136</v>
      </c>
      <c r="CB743" t="s">
        <v>151</v>
      </c>
      <c r="CC743" t="s">
        <v>152</v>
      </c>
      <c r="CD743" t="s">
        <v>124</v>
      </c>
      <c r="CE743" t="s">
        <v>167</v>
      </c>
      <c r="CI743" t="s">
        <v>418</v>
      </c>
      <c r="CJ743" t="s">
        <v>418</v>
      </c>
      <c r="CK743" t="s">
        <v>1137</v>
      </c>
      <c r="CL743">
        <v>2</v>
      </c>
    </row>
    <row r="744" spans="1:90">
      <c r="A744" t="s">
        <v>1027</v>
      </c>
      <c r="B744" t="s">
        <v>175</v>
      </c>
      <c r="C744" t="s">
        <v>152</v>
      </c>
      <c r="D744" t="s">
        <v>118</v>
      </c>
      <c r="F744" t="s">
        <v>163</v>
      </c>
      <c r="G744" t="s">
        <v>273</v>
      </c>
      <c r="H744" t="s">
        <v>164</v>
      </c>
      <c r="L744">
        <v>5</v>
      </c>
      <c r="CA744" t="s">
        <v>1141</v>
      </c>
      <c r="CB744" t="s">
        <v>151</v>
      </c>
      <c r="CC744" t="s">
        <v>152</v>
      </c>
      <c r="CD744" t="s">
        <v>124</v>
      </c>
      <c r="CE744" t="s">
        <v>167</v>
      </c>
      <c r="CI744" t="s">
        <v>156</v>
      </c>
      <c r="CJ744" t="s">
        <v>156</v>
      </c>
      <c r="CK744" t="s">
        <v>1142</v>
      </c>
      <c r="CL744">
        <v>0</v>
      </c>
    </row>
    <row r="745" spans="1:90">
      <c r="A745" t="s">
        <v>1028</v>
      </c>
      <c r="B745" t="s">
        <v>175</v>
      </c>
      <c r="C745" t="s">
        <v>152</v>
      </c>
      <c r="D745" t="s">
        <v>124</v>
      </c>
      <c r="F745" t="s">
        <v>163</v>
      </c>
      <c r="G745" t="s">
        <v>273</v>
      </c>
      <c r="H745" t="s">
        <v>164</v>
      </c>
      <c r="L745">
        <v>5</v>
      </c>
      <c r="CA745" t="s">
        <v>1143</v>
      </c>
      <c r="CB745" t="s">
        <v>151</v>
      </c>
      <c r="CC745" t="s">
        <v>149</v>
      </c>
      <c r="CD745" t="s">
        <v>118</v>
      </c>
      <c r="CL745">
        <v>2</v>
      </c>
    </row>
    <row r="746" spans="1:90">
      <c r="A746" t="s">
        <v>1029</v>
      </c>
      <c r="B746" t="s">
        <v>175</v>
      </c>
      <c r="C746" t="s">
        <v>149</v>
      </c>
      <c r="D746" t="s">
        <v>118</v>
      </c>
      <c r="F746" t="s">
        <v>163</v>
      </c>
      <c r="G746" t="s">
        <v>273</v>
      </c>
      <c r="H746" t="s">
        <v>164</v>
      </c>
      <c r="L746">
        <v>5</v>
      </c>
      <c r="CA746" t="s">
        <v>1144</v>
      </c>
      <c r="CB746" t="s">
        <v>151</v>
      </c>
      <c r="CC746" t="s">
        <v>152</v>
      </c>
      <c r="CD746" t="s">
        <v>143</v>
      </c>
      <c r="CL746">
        <v>2</v>
      </c>
    </row>
    <row r="747" spans="1:90">
      <c r="A747" t="s">
        <v>1030</v>
      </c>
      <c r="B747" t="s">
        <v>175</v>
      </c>
      <c r="C747" t="s">
        <v>277</v>
      </c>
      <c r="D747" t="s">
        <v>118</v>
      </c>
      <c r="F747" t="s">
        <v>163</v>
      </c>
      <c r="G747" t="s">
        <v>273</v>
      </c>
      <c r="H747" t="s">
        <v>164</v>
      </c>
      <c r="L747">
        <v>5</v>
      </c>
      <c r="CA747" t="s">
        <v>1145</v>
      </c>
      <c r="CB747" t="s">
        <v>151</v>
      </c>
      <c r="CC747" t="s">
        <v>149</v>
      </c>
      <c r="CD747" t="s">
        <v>118</v>
      </c>
      <c r="CE747" t="s">
        <v>167</v>
      </c>
      <c r="CI747" t="s">
        <v>168</v>
      </c>
      <c r="CJ747" t="s">
        <v>168</v>
      </c>
      <c r="CK747" t="s">
        <v>1146</v>
      </c>
      <c r="CL747">
        <v>2</v>
      </c>
    </row>
    <row r="748" spans="1:90">
      <c r="A748" t="s">
        <v>1031</v>
      </c>
      <c r="B748" t="s">
        <v>175</v>
      </c>
      <c r="C748" t="s">
        <v>152</v>
      </c>
      <c r="D748" t="s">
        <v>118</v>
      </c>
      <c r="L748">
        <v>5</v>
      </c>
      <c r="CA748" t="s">
        <v>1147</v>
      </c>
      <c r="CB748" t="s">
        <v>151</v>
      </c>
      <c r="CC748" t="s">
        <v>152</v>
      </c>
      <c r="CD748" t="s">
        <v>124</v>
      </c>
      <c r="CL748">
        <v>0</v>
      </c>
    </row>
    <row r="749" spans="1:90">
      <c r="A749" t="s">
        <v>1032</v>
      </c>
      <c r="B749" t="s">
        <v>175</v>
      </c>
      <c r="C749" t="s">
        <v>149</v>
      </c>
      <c r="D749" t="s">
        <v>118</v>
      </c>
      <c r="F749" t="s">
        <v>163</v>
      </c>
      <c r="G749" t="s">
        <v>273</v>
      </c>
      <c r="H749" t="s">
        <v>164</v>
      </c>
      <c r="L749">
        <v>5</v>
      </c>
      <c r="CA749" t="s">
        <v>1148</v>
      </c>
      <c r="CB749" t="s">
        <v>175</v>
      </c>
      <c r="CC749" t="s">
        <v>152</v>
      </c>
      <c r="CD749" t="s">
        <v>118</v>
      </c>
      <c r="CF749" t="s">
        <v>163</v>
      </c>
      <c r="CH749" t="s">
        <v>164</v>
      </c>
      <c r="CL749">
        <v>5</v>
      </c>
    </row>
    <row r="750" spans="1:90">
      <c r="A750" t="s">
        <v>1033</v>
      </c>
      <c r="B750" t="s">
        <v>175</v>
      </c>
      <c r="C750" t="s">
        <v>152</v>
      </c>
      <c r="D750" t="s">
        <v>118</v>
      </c>
      <c r="F750" t="s">
        <v>163</v>
      </c>
      <c r="G750" t="s">
        <v>273</v>
      </c>
      <c r="H750" t="s">
        <v>164</v>
      </c>
      <c r="L750">
        <v>5</v>
      </c>
      <c r="CA750" t="s">
        <v>1149</v>
      </c>
      <c r="CB750" t="s">
        <v>175</v>
      </c>
      <c r="CC750" t="s">
        <v>152</v>
      </c>
      <c r="CD750" t="s">
        <v>118</v>
      </c>
      <c r="CL750">
        <v>1</v>
      </c>
    </row>
    <row r="751" spans="1:90">
      <c r="A751" t="s">
        <v>1034</v>
      </c>
      <c r="B751" t="s">
        <v>175</v>
      </c>
      <c r="C751" t="s">
        <v>152</v>
      </c>
      <c r="D751" t="s">
        <v>118</v>
      </c>
      <c r="F751" t="s">
        <v>163</v>
      </c>
      <c r="G751" t="s">
        <v>273</v>
      </c>
      <c r="H751" t="s">
        <v>164</v>
      </c>
      <c r="L751">
        <v>5</v>
      </c>
      <c r="CA751" t="s">
        <v>1150</v>
      </c>
      <c r="CB751" t="s">
        <v>175</v>
      </c>
      <c r="CC751" t="s">
        <v>152</v>
      </c>
      <c r="CD751" t="s">
        <v>118</v>
      </c>
    </row>
    <row r="752" spans="1:90">
      <c r="A752" t="s">
        <v>1035</v>
      </c>
      <c r="B752" t="s">
        <v>175</v>
      </c>
      <c r="C752" t="s">
        <v>152</v>
      </c>
      <c r="D752" t="s">
        <v>124</v>
      </c>
      <c r="F752" t="s">
        <v>163</v>
      </c>
      <c r="G752" t="s">
        <v>273</v>
      </c>
      <c r="H752" t="s">
        <v>164</v>
      </c>
      <c r="L752">
        <v>5</v>
      </c>
      <c r="CA752" t="s">
        <v>1151</v>
      </c>
      <c r="CB752" t="s">
        <v>175</v>
      </c>
      <c r="CC752" t="s">
        <v>152</v>
      </c>
      <c r="CD752" t="s">
        <v>118</v>
      </c>
      <c r="CF752" t="s">
        <v>163</v>
      </c>
      <c r="CG752" t="s">
        <v>273</v>
      </c>
      <c r="CH752" t="s">
        <v>164</v>
      </c>
      <c r="CL752">
        <v>5</v>
      </c>
    </row>
    <row r="753" spans="1:90">
      <c r="A753" t="s">
        <v>1036</v>
      </c>
      <c r="B753" t="s">
        <v>175</v>
      </c>
      <c r="C753" t="s">
        <v>152</v>
      </c>
      <c r="D753" t="s">
        <v>118</v>
      </c>
      <c r="F753" t="s">
        <v>163</v>
      </c>
      <c r="G753" t="s">
        <v>273</v>
      </c>
      <c r="H753" t="s">
        <v>164</v>
      </c>
      <c r="L753">
        <v>5</v>
      </c>
      <c r="CA753" t="s">
        <v>1152</v>
      </c>
      <c r="CB753" t="s">
        <v>175</v>
      </c>
      <c r="CC753" t="s">
        <v>152</v>
      </c>
      <c r="CD753" t="s">
        <v>138</v>
      </c>
      <c r="CF753" t="s">
        <v>163</v>
      </c>
      <c r="CG753" t="s">
        <v>273</v>
      </c>
      <c r="CH753" t="s">
        <v>164</v>
      </c>
      <c r="CL753">
        <v>5</v>
      </c>
    </row>
    <row r="754" spans="1:90">
      <c r="A754" t="s">
        <v>1037</v>
      </c>
      <c r="B754" t="s">
        <v>175</v>
      </c>
      <c r="C754" t="s">
        <v>152</v>
      </c>
      <c r="D754" t="s">
        <v>118</v>
      </c>
      <c r="L754">
        <v>5</v>
      </c>
      <c r="CA754" s="33" t="s">
        <v>1153</v>
      </c>
      <c r="CB754" s="33" t="s">
        <v>172</v>
      </c>
      <c r="CC754" s="33" t="s">
        <v>152</v>
      </c>
      <c r="CD754" s="33" t="s">
        <v>124</v>
      </c>
      <c r="CE754" s="33"/>
      <c r="CF754" s="33"/>
      <c r="CG754" s="33"/>
      <c r="CH754" s="33"/>
    </row>
    <row r="755" spans="1:90">
      <c r="A755" t="s">
        <v>1038</v>
      </c>
      <c r="B755" t="s">
        <v>175</v>
      </c>
      <c r="C755" t="s">
        <v>152</v>
      </c>
      <c r="D755" t="s">
        <v>118</v>
      </c>
      <c r="L755">
        <v>5</v>
      </c>
    </row>
    <row r="756" spans="1:90">
      <c r="A756" s="33" t="s">
        <v>1039</v>
      </c>
      <c r="B756" s="33" t="s">
        <v>172</v>
      </c>
      <c r="C756" s="33" t="s">
        <v>216</v>
      </c>
      <c r="D756" s="33" t="s">
        <v>143</v>
      </c>
      <c r="E756" s="33"/>
      <c r="F756" s="33"/>
      <c r="G756" s="33"/>
      <c r="H756" s="33"/>
      <c r="L756">
        <v>5</v>
      </c>
      <c r="CA756" t="s">
        <v>1154</v>
      </c>
      <c r="CB756" t="s">
        <v>116</v>
      </c>
      <c r="CC756" t="s">
        <v>152</v>
      </c>
      <c r="CD756" t="s">
        <v>118</v>
      </c>
    </row>
    <row r="757" spans="1:90">
      <c r="A757" s="33" t="s">
        <v>1040</v>
      </c>
      <c r="B757" s="33" t="s">
        <v>172</v>
      </c>
      <c r="C757" s="33" t="s">
        <v>149</v>
      </c>
      <c r="D757" s="33" t="s">
        <v>132</v>
      </c>
      <c r="E757" s="33"/>
      <c r="F757" s="33"/>
      <c r="G757" s="33"/>
      <c r="H757" s="33"/>
      <c r="L757">
        <v>5</v>
      </c>
      <c r="CA757" t="s">
        <v>1155</v>
      </c>
      <c r="CB757" t="s">
        <v>116</v>
      </c>
      <c r="CC757" t="s">
        <v>149</v>
      </c>
      <c r="CD757" t="s">
        <v>118</v>
      </c>
    </row>
    <row r="758" spans="1:90">
      <c r="A758" s="33" t="s">
        <v>1041</v>
      </c>
      <c r="B758" s="33" t="s">
        <v>172</v>
      </c>
      <c r="C758" s="33" t="s">
        <v>149</v>
      </c>
      <c r="D758" s="33" t="s">
        <v>118</v>
      </c>
      <c r="E758" s="33"/>
      <c r="F758" s="33"/>
      <c r="G758" s="33"/>
      <c r="H758" s="33"/>
      <c r="L758">
        <v>5</v>
      </c>
      <c r="CA758" t="s">
        <v>1156</v>
      </c>
      <c r="CB758" t="s">
        <v>116</v>
      </c>
      <c r="CC758" t="s">
        <v>152</v>
      </c>
      <c r="CD758" t="s">
        <v>118</v>
      </c>
      <c r="CF758" t="s">
        <v>370</v>
      </c>
      <c r="CH758" t="s">
        <v>164</v>
      </c>
    </row>
    <row r="759" spans="1:90">
      <c r="A759" s="33" t="s">
        <v>1042</v>
      </c>
      <c r="B759" s="33" t="s">
        <v>172</v>
      </c>
      <c r="C759" s="33" t="s">
        <v>152</v>
      </c>
      <c r="D759" s="33" t="s">
        <v>124</v>
      </c>
      <c r="E759" s="33"/>
      <c r="F759" s="33"/>
      <c r="G759" s="33"/>
      <c r="H759" s="33"/>
      <c r="L759">
        <v>5</v>
      </c>
    </row>
    <row r="760" spans="1:90">
      <c r="A760" s="33" t="s">
        <v>1043</v>
      </c>
      <c r="B760" s="33" t="s">
        <v>172</v>
      </c>
      <c r="C760" s="33" t="s">
        <v>152</v>
      </c>
      <c r="D760" s="33" t="s">
        <v>118</v>
      </c>
      <c r="E760" s="33"/>
      <c r="F760" s="33"/>
      <c r="G760" s="33"/>
      <c r="H760" s="33"/>
      <c r="L760">
        <v>5</v>
      </c>
    </row>
    <row r="761" spans="1:90">
      <c r="A761" s="33" t="s">
        <v>1044</v>
      </c>
      <c r="B761" s="33" t="s">
        <v>172</v>
      </c>
      <c r="C761" s="33" t="s">
        <v>152</v>
      </c>
      <c r="D761" s="33" t="s">
        <v>124</v>
      </c>
      <c r="E761" s="33"/>
      <c r="F761" s="33"/>
      <c r="G761" s="33"/>
      <c r="H761" s="33"/>
      <c r="L761">
        <v>5</v>
      </c>
    </row>
    <row r="762" spans="1:90">
      <c r="A762" s="33" t="s">
        <v>1045</v>
      </c>
      <c r="B762" s="33" t="s">
        <v>172</v>
      </c>
      <c r="C762" s="33" t="s">
        <v>152</v>
      </c>
      <c r="D762" s="33" t="s">
        <v>124</v>
      </c>
      <c r="E762" s="33"/>
      <c r="F762" s="33"/>
      <c r="G762" s="33"/>
      <c r="H762" s="33"/>
      <c r="L762">
        <v>5</v>
      </c>
    </row>
    <row r="763" spans="1:90">
      <c r="A763" s="33" t="s">
        <v>1037</v>
      </c>
      <c r="B763" s="33" t="s">
        <v>172</v>
      </c>
      <c r="C763" s="33" t="s">
        <v>149</v>
      </c>
      <c r="D763" s="33" t="s">
        <v>118</v>
      </c>
      <c r="E763" s="33"/>
      <c r="F763" s="33"/>
      <c r="G763" s="33"/>
      <c r="H763" s="33"/>
      <c r="L763">
        <v>5</v>
      </c>
    </row>
    <row r="764" spans="1:90">
      <c r="A764" s="33" t="s">
        <v>1046</v>
      </c>
      <c r="B764" s="33" t="s">
        <v>172</v>
      </c>
      <c r="C764" s="33" t="s">
        <v>149</v>
      </c>
      <c r="D764" s="33" t="s">
        <v>118</v>
      </c>
      <c r="E764" s="33"/>
      <c r="F764" s="33"/>
      <c r="G764" s="33"/>
      <c r="H764" s="33"/>
      <c r="L764">
        <v>5</v>
      </c>
    </row>
    <row r="765" spans="1:90">
      <c r="A765" s="33" t="s">
        <v>1047</v>
      </c>
      <c r="B765" s="33" t="s">
        <v>172</v>
      </c>
      <c r="C765" s="33" t="s">
        <v>152</v>
      </c>
      <c r="D765" s="33" t="s">
        <v>118</v>
      </c>
      <c r="E765" s="33"/>
      <c r="F765" s="33"/>
      <c r="G765" s="33"/>
      <c r="H765" s="33"/>
      <c r="L765">
        <v>5</v>
      </c>
    </row>
    <row r="766" spans="1:90">
      <c r="A766" s="33" t="s">
        <v>1048</v>
      </c>
      <c r="B766" s="33" t="s">
        <v>172</v>
      </c>
      <c r="C766" s="33" t="s">
        <v>149</v>
      </c>
      <c r="D766" s="33" t="s">
        <v>118</v>
      </c>
      <c r="E766" s="33"/>
      <c r="F766" s="33"/>
      <c r="G766" s="33"/>
      <c r="H766" s="33"/>
      <c r="L766">
        <v>5</v>
      </c>
    </row>
    <row r="767" spans="1:90">
      <c r="A767" s="33" t="s">
        <v>1049</v>
      </c>
      <c r="B767" s="33" t="s">
        <v>172</v>
      </c>
      <c r="C767" s="33" t="s">
        <v>152</v>
      </c>
      <c r="D767" s="33" t="s">
        <v>118</v>
      </c>
      <c r="E767" s="33"/>
      <c r="F767" s="33"/>
      <c r="G767" s="33"/>
      <c r="H767" s="33"/>
      <c r="L767">
        <v>5</v>
      </c>
    </row>
    <row r="768" spans="1:90">
      <c r="A768" s="33" t="s">
        <v>1050</v>
      </c>
      <c r="B768" s="33" t="s">
        <v>172</v>
      </c>
      <c r="C768" s="33" t="s">
        <v>152</v>
      </c>
      <c r="D768" s="33" t="s">
        <v>124</v>
      </c>
      <c r="E768" s="33"/>
      <c r="F768" s="33"/>
      <c r="G768" s="33"/>
      <c r="H768" s="33"/>
      <c r="L768">
        <v>5</v>
      </c>
    </row>
    <row r="769" spans="1:12">
      <c r="A769" s="33" t="s">
        <v>1051</v>
      </c>
      <c r="B769" s="33" t="s">
        <v>172</v>
      </c>
      <c r="C769" s="33" t="s">
        <v>152</v>
      </c>
      <c r="D769" s="33" t="s">
        <v>118</v>
      </c>
      <c r="E769" s="33"/>
      <c r="F769" s="33"/>
      <c r="G769" s="33"/>
      <c r="H769" s="33"/>
      <c r="L769">
        <v>5</v>
      </c>
    </row>
    <row r="770" spans="1:12">
      <c r="A770" s="33" t="s">
        <v>1052</v>
      </c>
      <c r="B770" s="33" t="s">
        <v>172</v>
      </c>
      <c r="C770" s="33" t="s">
        <v>149</v>
      </c>
      <c r="D770" s="33" t="s">
        <v>118</v>
      </c>
      <c r="E770" s="33"/>
      <c r="F770" s="33"/>
      <c r="G770" s="33"/>
      <c r="H770" s="33"/>
      <c r="L770">
        <v>5</v>
      </c>
    </row>
    <row r="771" spans="1:12">
      <c r="A771" s="33" t="s">
        <v>1053</v>
      </c>
      <c r="B771" s="33" t="s">
        <v>172</v>
      </c>
      <c r="C771" s="33" t="s">
        <v>152</v>
      </c>
      <c r="D771" s="33" t="s">
        <v>118</v>
      </c>
      <c r="E771" s="33"/>
      <c r="F771" s="33"/>
      <c r="G771" s="33"/>
      <c r="H771" s="33"/>
      <c r="L771">
        <v>5</v>
      </c>
    </row>
    <row r="772" spans="1:12">
      <c r="A772" s="33" t="s">
        <v>1054</v>
      </c>
      <c r="B772" s="33" t="s">
        <v>172</v>
      </c>
      <c r="C772" s="33" t="s">
        <v>149</v>
      </c>
      <c r="D772" s="33" t="s">
        <v>124</v>
      </c>
      <c r="E772" s="33"/>
      <c r="F772" s="33"/>
      <c r="G772" s="33"/>
      <c r="H772" s="33"/>
      <c r="L772">
        <v>5</v>
      </c>
    </row>
    <row r="773" spans="1:12">
      <c r="A773" s="33" t="s">
        <v>1055</v>
      </c>
      <c r="B773" s="33" t="s">
        <v>172</v>
      </c>
      <c r="C773" s="33" t="s">
        <v>149</v>
      </c>
      <c r="D773" s="33" t="s">
        <v>118</v>
      </c>
      <c r="E773" s="33"/>
      <c r="F773" s="33"/>
      <c r="G773" s="33"/>
      <c r="H773" s="33"/>
      <c r="L773">
        <v>5</v>
      </c>
    </row>
    <row r="774" spans="1:12">
      <c r="A774" s="33" t="s">
        <v>1056</v>
      </c>
      <c r="B774" s="33" t="s">
        <v>172</v>
      </c>
      <c r="C774" s="33" t="s">
        <v>152</v>
      </c>
      <c r="D774" s="33" t="s">
        <v>118</v>
      </c>
      <c r="E774" s="33"/>
      <c r="F774" s="33"/>
      <c r="G774" s="33"/>
      <c r="H774" s="33"/>
      <c r="L774">
        <v>5</v>
      </c>
    </row>
    <row r="775" spans="1:12">
      <c r="A775" s="33" t="s">
        <v>1057</v>
      </c>
      <c r="B775" s="33" t="s">
        <v>172</v>
      </c>
      <c r="C775" s="33" t="s">
        <v>149</v>
      </c>
      <c r="D775" s="33" t="s">
        <v>124</v>
      </c>
      <c r="E775" s="33"/>
      <c r="F775" s="33"/>
      <c r="G775" s="33"/>
      <c r="H775" s="33"/>
      <c r="L775">
        <v>5</v>
      </c>
    </row>
    <row r="776" spans="1:12">
      <c r="A776" s="33" t="s">
        <v>1058</v>
      </c>
      <c r="B776" s="33" t="s">
        <v>172</v>
      </c>
      <c r="C776" s="33" t="s">
        <v>152</v>
      </c>
      <c r="D776" s="33" t="s">
        <v>132</v>
      </c>
      <c r="E776" s="33"/>
      <c r="F776" s="33"/>
      <c r="G776" s="33"/>
      <c r="H776" s="33"/>
      <c r="L776">
        <v>5</v>
      </c>
    </row>
    <row r="777" spans="1:12">
      <c r="A777" s="33" t="s">
        <v>1059</v>
      </c>
      <c r="B777" s="33" t="s">
        <v>172</v>
      </c>
      <c r="C777" s="33" t="s">
        <v>152</v>
      </c>
      <c r="D777" s="33" t="s">
        <v>118</v>
      </c>
      <c r="E777" s="33" t="s">
        <v>167</v>
      </c>
      <c r="F777" s="33"/>
      <c r="G777" s="33"/>
      <c r="H777" s="33"/>
      <c r="I777" t="s">
        <v>418</v>
      </c>
      <c r="J777" t="s">
        <v>221</v>
      </c>
      <c r="K777" t="s">
        <v>1060</v>
      </c>
      <c r="L777">
        <v>5</v>
      </c>
    </row>
    <row r="778" spans="1:12">
      <c r="A778" t="s">
        <v>1061</v>
      </c>
      <c r="B778" t="s">
        <v>279</v>
      </c>
      <c r="C778" t="s">
        <v>152</v>
      </c>
      <c r="D778" t="s">
        <v>124</v>
      </c>
      <c r="L778">
        <v>5</v>
      </c>
    </row>
    <row r="779" spans="1:12">
      <c r="A779" t="s">
        <v>1062</v>
      </c>
      <c r="B779" t="s">
        <v>279</v>
      </c>
      <c r="C779" t="s">
        <v>152</v>
      </c>
      <c r="D779" t="s">
        <v>118</v>
      </c>
      <c r="L779">
        <v>5</v>
      </c>
    </row>
    <row r="780" spans="1:12">
      <c r="A780" t="s">
        <v>1063</v>
      </c>
      <c r="B780" t="s">
        <v>279</v>
      </c>
      <c r="C780" t="s">
        <v>277</v>
      </c>
      <c r="D780" t="s">
        <v>118</v>
      </c>
      <c r="L780">
        <v>5</v>
      </c>
    </row>
    <row r="781" spans="1:12">
      <c r="A781" t="s">
        <v>1064</v>
      </c>
      <c r="B781" t="s">
        <v>279</v>
      </c>
      <c r="C781" t="s">
        <v>152</v>
      </c>
      <c r="D781" t="s">
        <v>118</v>
      </c>
      <c r="F781" t="s">
        <v>273</v>
      </c>
      <c r="H781" t="s">
        <v>164</v>
      </c>
      <c r="L781">
        <v>5</v>
      </c>
    </row>
    <row r="782" spans="1:12">
      <c r="A782" t="s">
        <v>1065</v>
      </c>
      <c r="B782" t="s">
        <v>279</v>
      </c>
      <c r="C782" t="s">
        <v>216</v>
      </c>
      <c r="D782" t="s">
        <v>118</v>
      </c>
      <c r="L782">
        <v>5</v>
      </c>
    </row>
    <row r="783" spans="1:12">
      <c r="A783" t="s">
        <v>1066</v>
      </c>
      <c r="B783" t="s">
        <v>279</v>
      </c>
      <c r="C783" t="s">
        <v>152</v>
      </c>
      <c r="D783" t="s">
        <v>124</v>
      </c>
      <c r="L783">
        <v>5</v>
      </c>
    </row>
    <row r="784" spans="1:12">
      <c r="A784" t="s">
        <v>1067</v>
      </c>
      <c r="B784" t="s">
        <v>279</v>
      </c>
      <c r="C784" t="s">
        <v>152</v>
      </c>
      <c r="D784" t="s">
        <v>118</v>
      </c>
      <c r="L784">
        <v>5</v>
      </c>
    </row>
    <row r="785" spans="1:12">
      <c r="A785" t="s">
        <v>1068</v>
      </c>
      <c r="B785" t="s">
        <v>279</v>
      </c>
      <c r="C785" t="s">
        <v>152</v>
      </c>
      <c r="D785" t="s">
        <v>118</v>
      </c>
      <c r="L785">
        <v>5</v>
      </c>
    </row>
    <row r="786" spans="1:12">
      <c r="A786" t="s">
        <v>1069</v>
      </c>
      <c r="B786" t="s">
        <v>279</v>
      </c>
      <c r="C786" t="s">
        <v>152</v>
      </c>
      <c r="D786" t="s">
        <v>124</v>
      </c>
      <c r="L786">
        <v>5</v>
      </c>
    </row>
    <row r="787" spans="1:12">
      <c r="A787" t="s">
        <v>1070</v>
      </c>
      <c r="B787" t="s">
        <v>279</v>
      </c>
      <c r="C787" t="s">
        <v>152</v>
      </c>
      <c r="D787" t="s">
        <v>124</v>
      </c>
      <c r="L787">
        <v>5</v>
      </c>
    </row>
    <row r="788" spans="1:12">
      <c r="A788" t="s">
        <v>1071</v>
      </c>
      <c r="B788" t="s">
        <v>279</v>
      </c>
      <c r="C788" t="s">
        <v>152</v>
      </c>
      <c r="D788" t="s">
        <v>118</v>
      </c>
      <c r="L788">
        <v>5</v>
      </c>
    </row>
    <row r="789" spans="1:12">
      <c r="A789" t="s">
        <v>1072</v>
      </c>
      <c r="B789" t="s">
        <v>279</v>
      </c>
      <c r="C789" t="s">
        <v>152</v>
      </c>
      <c r="D789" t="s">
        <v>118</v>
      </c>
      <c r="L789">
        <v>5</v>
      </c>
    </row>
    <row r="790" spans="1:12">
      <c r="A790" t="s">
        <v>1073</v>
      </c>
      <c r="B790" t="s">
        <v>279</v>
      </c>
      <c r="C790" t="s">
        <v>149</v>
      </c>
      <c r="D790" t="s">
        <v>118</v>
      </c>
      <c r="L790">
        <v>5</v>
      </c>
    </row>
    <row r="791" spans="1:12">
      <c r="A791" t="s">
        <v>1074</v>
      </c>
      <c r="B791" t="s">
        <v>279</v>
      </c>
      <c r="C791" t="s">
        <v>149</v>
      </c>
      <c r="D791" t="s">
        <v>118</v>
      </c>
      <c r="L791">
        <v>5</v>
      </c>
    </row>
    <row r="792" spans="1:12">
      <c r="A792" t="s">
        <v>1075</v>
      </c>
      <c r="B792" t="s">
        <v>279</v>
      </c>
      <c r="C792" t="s">
        <v>149</v>
      </c>
      <c r="D792" t="s">
        <v>118</v>
      </c>
      <c r="L792">
        <v>5</v>
      </c>
    </row>
    <row r="793" spans="1:12">
      <c r="A793" t="s">
        <v>1076</v>
      </c>
      <c r="B793" t="s">
        <v>215</v>
      </c>
      <c r="C793" t="s">
        <v>216</v>
      </c>
      <c r="D793" t="s">
        <v>124</v>
      </c>
      <c r="F793" t="s">
        <v>273</v>
      </c>
      <c r="H793" t="s">
        <v>164</v>
      </c>
      <c r="L793">
        <v>5</v>
      </c>
    </row>
    <row r="794" spans="1:12">
      <c r="A794" t="s">
        <v>1077</v>
      </c>
      <c r="B794" t="s">
        <v>215</v>
      </c>
      <c r="C794" t="s">
        <v>152</v>
      </c>
      <c r="D794" t="s">
        <v>118</v>
      </c>
      <c r="L794">
        <v>5</v>
      </c>
    </row>
    <row r="795" spans="1:12">
      <c r="A795" t="s">
        <v>1078</v>
      </c>
      <c r="B795" t="s">
        <v>215</v>
      </c>
      <c r="C795" t="s">
        <v>152</v>
      </c>
      <c r="D795" t="s">
        <v>118</v>
      </c>
      <c r="L795">
        <v>5</v>
      </c>
    </row>
    <row r="796" spans="1:12">
      <c r="A796" t="s">
        <v>1079</v>
      </c>
      <c r="B796" t="s">
        <v>215</v>
      </c>
      <c r="C796" t="s">
        <v>149</v>
      </c>
      <c r="D796" t="s">
        <v>124</v>
      </c>
      <c r="F796" t="s">
        <v>273</v>
      </c>
      <c r="H796" t="s">
        <v>164</v>
      </c>
      <c r="L796">
        <v>5</v>
      </c>
    </row>
    <row r="797" spans="1:12">
      <c r="A797" t="s">
        <v>1080</v>
      </c>
      <c r="B797" t="s">
        <v>215</v>
      </c>
      <c r="C797" t="s">
        <v>152</v>
      </c>
      <c r="D797" t="s">
        <v>118</v>
      </c>
      <c r="L797">
        <v>5</v>
      </c>
    </row>
    <row r="798" spans="1:12">
      <c r="A798" t="s">
        <v>1081</v>
      </c>
      <c r="B798" t="s">
        <v>215</v>
      </c>
      <c r="C798" t="s">
        <v>149</v>
      </c>
      <c r="D798" t="s">
        <v>124</v>
      </c>
      <c r="L798">
        <v>5</v>
      </c>
    </row>
    <row r="799" spans="1:12">
      <c r="A799" t="s">
        <v>1082</v>
      </c>
      <c r="B799" t="s">
        <v>215</v>
      </c>
      <c r="C799" t="s">
        <v>149</v>
      </c>
      <c r="D799" t="s">
        <v>124</v>
      </c>
      <c r="F799" t="s">
        <v>273</v>
      </c>
      <c r="H799" t="s">
        <v>164</v>
      </c>
      <c r="L799">
        <v>5</v>
      </c>
    </row>
    <row r="800" spans="1:12">
      <c r="A800" t="s">
        <v>1083</v>
      </c>
      <c r="B800" t="s">
        <v>215</v>
      </c>
      <c r="C800" t="s">
        <v>149</v>
      </c>
      <c r="D800" t="s">
        <v>124</v>
      </c>
      <c r="L800">
        <v>5</v>
      </c>
    </row>
    <row r="801" spans="1:12">
      <c r="A801" t="s">
        <v>1084</v>
      </c>
      <c r="B801" t="s">
        <v>215</v>
      </c>
      <c r="C801" t="s">
        <v>149</v>
      </c>
      <c r="D801" t="s">
        <v>124</v>
      </c>
      <c r="L801">
        <v>5</v>
      </c>
    </row>
    <row r="802" spans="1:12">
      <c r="A802" t="s">
        <v>1085</v>
      </c>
      <c r="B802" t="s">
        <v>215</v>
      </c>
      <c r="C802" t="s">
        <v>152</v>
      </c>
      <c r="D802" t="s">
        <v>118</v>
      </c>
      <c r="F802" t="s">
        <v>745</v>
      </c>
      <c r="H802" t="s">
        <v>164</v>
      </c>
      <c r="L802">
        <v>5</v>
      </c>
    </row>
    <row r="803" spans="1:12">
      <c r="A803" t="s">
        <v>1086</v>
      </c>
      <c r="B803" t="s">
        <v>215</v>
      </c>
      <c r="C803" t="s">
        <v>149</v>
      </c>
      <c r="D803" t="s">
        <v>118</v>
      </c>
      <c r="L803">
        <v>5</v>
      </c>
    </row>
    <row r="804" spans="1:12">
      <c r="A804" t="s">
        <v>416</v>
      </c>
      <c r="B804" t="s">
        <v>215</v>
      </c>
      <c r="C804" t="s">
        <v>149</v>
      </c>
      <c r="D804" t="s">
        <v>124</v>
      </c>
      <c r="F804" t="s">
        <v>273</v>
      </c>
      <c r="H804" t="s">
        <v>164</v>
      </c>
      <c r="L804">
        <v>5</v>
      </c>
    </row>
    <row r="805" spans="1:12">
      <c r="A805" t="s">
        <v>1087</v>
      </c>
      <c r="B805" t="s">
        <v>215</v>
      </c>
      <c r="C805" t="s">
        <v>216</v>
      </c>
      <c r="D805" t="s">
        <v>118</v>
      </c>
      <c r="F805" t="s">
        <v>163</v>
      </c>
      <c r="H805" t="s">
        <v>164</v>
      </c>
      <c r="L805">
        <v>5</v>
      </c>
    </row>
    <row r="806" spans="1:12">
      <c r="A806" t="s">
        <v>1088</v>
      </c>
      <c r="B806" t="s">
        <v>215</v>
      </c>
      <c r="C806" t="s">
        <v>149</v>
      </c>
      <c r="D806" t="s">
        <v>124</v>
      </c>
      <c r="L806">
        <v>5</v>
      </c>
    </row>
    <row r="807" spans="1:12">
      <c r="A807" t="s">
        <v>1089</v>
      </c>
      <c r="B807" t="s">
        <v>215</v>
      </c>
      <c r="C807" t="s">
        <v>852</v>
      </c>
      <c r="D807" t="s">
        <v>118</v>
      </c>
      <c r="F807" t="s">
        <v>273</v>
      </c>
      <c r="H807" t="s">
        <v>164</v>
      </c>
      <c r="L807">
        <v>5</v>
      </c>
    </row>
    <row r="808" spans="1:12">
      <c r="A808" t="s">
        <v>1090</v>
      </c>
      <c r="B808" t="s">
        <v>175</v>
      </c>
      <c r="C808" t="s">
        <v>152</v>
      </c>
      <c r="D808" t="s">
        <v>118</v>
      </c>
      <c r="F808" t="s">
        <v>163</v>
      </c>
      <c r="H808" t="s">
        <v>164</v>
      </c>
      <c r="L808">
        <v>5</v>
      </c>
    </row>
    <row r="809" spans="1:12">
      <c r="A809" t="s">
        <v>1091</v>
      </c>
      <c r="B809" t="s">
        <v>175</v>
      </c>
      <c r="C809" t="s">
        <v>149</v>
      </c>
      <c r="D809" t="s">
        <v>118</v>
      </c>
      <c r="L809">
        <v>5</v>
      </c>
    </row>
    <row r="810" spans="1:12">
      <c r="A810" t="s">
        <v>1092</v>
      </c>
      <c r="B810" t="s">
        <v>175</v>
      </c>
      <c r="C810" t="s">
        <v>152</v>
      </c>
      <c r="D810" t="s">
        <v>124</v>
      </c>
      <c r="F810" t="s">
        <v>163</v>
      </c>
      <c r="H810" t="s">
        <v>164</v>
      </c>
      <c r="L810">
        <v>5</v>
      </c>
    </row>
    <row r="811" spans="1:12">
      <c r="A811" t="s">
        <v>1093</v>
      </c>
      <c r="B811" t="s">
        <v>175</v>
      </c>
      <c r="C811" t="s">
        <v>152</v>
      </c>
      <c r="D811" t="s">
        <v>124</v>
      </c>
      <c r="F811" t="s">
        <v>163</v>
      </c>
      <c r="H811" t="s">
        <v>164</v>
      </c>
      <c r="L811">
        <v>5</v>
      </c>
    </row>
    <row r="812" spans="1:12">
      <c r="A812" t="s">
        <v>1094</v>
      </c>
      <c r="B812" t="s">
        <v>175</v>
      </c>
      <c r="C812" t="s">
        <v>152</v>
      </c>
      <c r="D812" t="s">
        <v>124</v>
      </c>
      <c r="L812">
        <v>5</v>
      </c>
    </row>
    <row r="813" spans="1:12">
      <c r="A813" t="s">
        <v>1095</v>
      </c>
      <c r="B813" t="s">
        <v>175</v>
      </c>
      <c r="C813" t="s">
        <v>152</v>
      </c>
      <c r="D813" t="s">
        <v>118</v>
      </c>
      <c r="F813" t="s">
        <v>163</v>
      </c>
      <c r="H813" t="s">
        <v>164</v>
      </c>
      <c r="L813">
        <v>5</v>
      </c>
    </row>
    <row r="814" spans="1:12">
      <c r="A814" t="s">
        <v>1096</v>
      </c>
      <c r="B814" t="s">
        <v>175</v>
      </c>
      <c r="C814" t="s">
        <v>152</v>
      </c>
      <c r="D814" t="s">
        <v>124</v>
      </c>
      <c r="L814">
        <v>5</v>
      </c>
    </row>
    <row r="815" spans="1:12">
      <c r="A815" t="s">
        <v>1097</v>
      </c>
      <c r="B815" t="s">
        <v>116</v>
      </c>
      <c r="C815" t="s">
        <v>152</v>
      </c>
      <c r="D815" t="s">
        <v>118</v>
      </c>
      <c r="F815" t="s">
        <v>370</v>
      </c>
      <c r="H815" t="s">
        <v>164</v>
      </c>
    </row>
    <row r="816" spans="1:12">
      <c r="A816" t="s">
        <v>1098</v>
      </c>
      <c r="B816" t="s">
        <v>116</v>
      </c>
      <c r="C816" t="s">
        <v>152</v>
      </c>
      <c r="D816" t="s">
        <v>118</v>
      </c>
    </row>
    <row r="817" spans="1:11">
      <c r="A817" t="s">
        <v>1099</v>
      </c>
      <c r="B817" t="s">
        <v>116</v>
      </c>
      <c r="C817" t="s">
        <v>152</v>
      </c>
      <c r="D817" t="s">
        <v>138</v>
      </c>
    </row>
    <row r="818" spans="1:11">
      <c r="A818" t="s">
        <v>470</v>
      </c>
      <c r="B818" t="s">
        <v>116</v>
      </c>
      <c r="C818" t="s">
        <v>149</v>
      </c>
      <c r="D818" t="s">
        <v>118</v>
      </c>
    </row>
    <row r="819" spans="1:11">
      <c r="A819" t="s">
        <v>1100</v>
      </c>
      <c r="B819" t="s">
        <v>116</v>
      </c>
      <c r="C819" t="s">
        <v>152</v>
      </c>
      <c r="D819" t="s">
        <v>118</v>
      </c>
    </row>
    <row r="820" spans="1:11">
      <c r="A820" t="s">
        <v>1101</v>
      </c>
      <c r="B820" t="s">
        <v>116</v>
      </c>
      <c r="C820" t="s">
        <v>152</v>
      </c>
      <c r="D820" t="s">
        <v>118</v>
      </c>
    </row>
    <row r="821" spans="1:11">
      <c r="A821" t="s">
        <v>1102</v>
      </c>
      <c r="B821" t="s">
        <v>116</v>
      </c>
      <c r="C821" t="s">
        <v>152</v>
      </c>
      <c r="D821" t="s">
        <v>118</v>
      </c>
    </row>
    <row r="822" spans="1:11">
      <c r="A822" t="s">
        <v>1103</v>
      </c>
      <c r="B822" t="s">
        <v>116</v>
      </c>
      <c r="C822" t="s">
        <v>149</v>
      </c>
      <c r="D822" t="s">
        <v>124</v>
      </c>
    </row>
    <row r="823" spans="1:11">
      <c r="A823" t="s">
        <v>1104</v>
      </c>
      <c r="B823" t="s">
        <v>116</v>
      </c>
      <c r="C823" t="s">
        <v>152</v>
      </c>
      <c r="D823" t="s">
        <v>118</v>
      </c>
    </row>
    <row r="824" spans="1:11">
      <c r="A824" t="s">
        <v>1105</v>
      </c>
      <c r="B824" t="s">
        <v>151</v>
      </c>
      <c r="C824" t="s">
        <v>152</v>
      </c>
      <c r="D824" t="s">
        <v>132</v>
      </c>
      <c r="K824" t="s">
        <v>1106</v>
      </c>
    </row>
    <row r="825" spans="1:11">
      <c r="A825" t="s">
        <v>1107</v>
      </c>
      <c r="B825" t="s">
        <v>151</v>
      </c>
      <c r="C825" t="s">
        <v>152</v>
      </c>
      <c r="D825" t="s">
        <v>118</v>
      </c>
      <c r="K825" t="s">
        <v>1108</v>
      </c>
    </row>
    <row r="826" spans="1:11">
      <c r="A826" t="s">
        <v>1109</v>
      </c>
      <c r="B826" t="s">
        <v>151</v>
      </c>
      <c r="C826" t="s">
        <v>152</v>
      </c>
      <c r="D826" t="s">
        <v>118</v>
      </c>
      <c r="E826" t="s">
        <v>153</v>
      </c>
      <c r="I826" t="s">
        <v>221</v>
      </c>
      <c r="J826" t="s">
        <v>221</v>
      </c>
      <c r="K826" t="s">
        <v>1110</v>
      </c>
    </row>
    <row r="827" spans="1:11">
      <c r="A827" t="s">
        <v>1111</v>
      </c>
      <c r="B827" t="s">
        <v>151</v>
      </c>
      <c r="C827" t="s">
        <v>149</v>
      </c>
      <c r="D827" t="s">
        <v>118</v>
      </c>
      <c r="E827" t="s">
        <v>180</v>
      </c>
      <c r="I827" t="s">
        <v>156</v>
      </c>
      <c r="J827" t="s">
        <v>156</v>
      </c>
      <c r="K827" t="s">
        <v>1112</v>
      </c>
    </row>
    <row r="828" spans="1:11">
      <c r="A828" t="s">
        <v>1113</v>
      </c>
      <c r="B828" t="s">
        <v>151</v>
      </c>
      <c r="C828" t="s">
        <v>152</v>
      </c>
      <c r="D828" t="s">
        <v>124</v>
      </c>
      <c r="J828" t="s">
        <v>156</v>
      </c>
      <c r="K828" t="s">
        <v>1114</v>
      </c>
    </row>
    <row r="829" spans="1:11">
      <c r="A829" t="s">
        <v>1115</v>
      </c>
      <c r="B829" t="s">
        <v>151</v>
      </c>
      <c r="C829" t="s">
        <v>152</v>
      </c>
      <c r="D829" t="s">
        <v>118</v>
      </c>
      <c r="E829" t="s">
        <v>167</v>
      </c>
      <c r="J829" t="s">
        <v>156</v>
      </c>
      <c r="K829" t="s">
        <v>192</v>
      </c>
    </row>
    <row r="830" spans="1:11">
      <c r="A830" t="s">
        <v>1116</v>
      </c>
      <c r="B830" t="s">
        <v>151</v>
      </c>
      <c r="C830" t="s">
        <v>149</v>
      </c>
      <c r="D830" t="s">
        <v>124</v>
      </c>
      <c r="E830" t="s">
        <v>153</v>
      </c>
      <c r="J830" t="s">
        <v>181</v>
      </c>
      <c r="K830" t="s">
        <v>157</v>
      </c>
    </row>
    <row r="831" spans="1:11">
      <c r="A831" t="s">
        <v>1117</v>
      </c>
      <c r="B831" t="s">
        <v>151</v>
      </c>
      <c r="C831" t="s">
        <v>149</v>
      </c>
      <c r="D831" t="s">
        <v>118</v>
      </c>
      <c r="E831" t="s">
        <v>167</v>
      </c>
      <c r="I831" t="s">
        <v>181</v>
      </c>
      <c r="J831" t="s">
        <v>181</v>
      </c>
      <c r="K831" t="s">
        <v>1118</v>
      </c>
    </row>
    <row r="832" spans="1:11">
      <c r="A832" t="s">
        <v>1119</v>
      </c>
      <c r="B832" t="s">
        <v>151</v>
      </c>
      <c r="C832" t="s">
        <v>149</v>
      </c>
      <c r="D832" t="s">
        <v>118</v>
      </c>
      <c r="E832" t="s">
        <v>153</v>
      </c>
      <c r="J832" t="s">
        <v>156</v>
      </c>
      <c r="K832" t="s">
        <v>1120</v>
      </c>
    </row>
    <row r="833" spans="1:12">
      <c r="A833" t="s">
        <v>1121</v>
      </c>
      <c r="B833" t="s">
        <v>151</v>
      </c>
      <c r="C833" t="s">
        <v>149</v>
      </c>
      <c r="D833" t="s">
        <v>124</v>
      </c>
      <c r="E833" t="s">
        <v>180</v>
      </c>
      <c r="J833" t="s">
        <v>181</v>
      </c>
      <c r="K833" t="s">
        <v>1122</v>
      </c>
    </row>
    <row r="834" spans="1:12">
      <c r="A834" t="s">
        <v>317</v>
      </c>
      <c r="B834" t="s">
        <v>151</v>
      </c>
      <c r="C834" t="s">
        <v>277</v>
      </c>
      <c r="D834" t="s">
        <v>124</v>
      </c>
      <c r="K834" t="s">
        <v>1123</v>
      </c>
      <c r="L834">
        <v>1</v>
      </c>
    </row>
    <row r="835" spans="1:12">
      <c r="A835" t="s">
        <v>1124</v>
      </c>
      <c r="B835" t="s">
        <v>175</v>
      </c>
      <c r="C835" t="s">
        <v>117</v>
      </c>
      <c r="D835" t="s">
        <v>138</v>
      </c>
      <c r="E835" t="s">
        <v>1125</v>
      </c>
      <c r="F835" t="s">
        <v>163</v>
      </c>
      <c r="G835" t="s">
        <v>273</v>
      </c>
      <c r="H835" t="s">
        <v>164</v>
      </c>
    </row>
    <row r="836" spans="1:12">
      <c r="A836" t="s">
        <v>1126</v>
      </c>
      <c r="B836" t="s">
        <v>160</v>
      </c>
      <c r="C836" t="s">
        <v>117</v>
      </c>
      <c r="D836" t="s">
        <v>124</v>
      </c>
      <c r="E836" t="s">
        <v>1127</v>
      </c>
      <c r="I836" t="s">
        <v>221</v>
      </c>
      <c r="J836" t="s">
        <v>221</v>
      </c>
      <c r="K836" t="s">
        <v>347</v>
      </c>
    </row>
    <row r="837" spans="1:12">
      <c r="A837" t="s">
        <v>1128</v>
      </c>
      <c r="B837" t="s">
        <v>160</v>
      </c>
      <c r="C837" t="s">
        <v>117</v>
      </c>
      <c r="D837" t="s">
        <v>118</v>
      </c>
      <c r="E837" t="s">
        <v>260</v>
      </c>
      <c r="J837" t="s">
        <v>181</v>
      </c>
      <c r="K837" t="s">
        <v>261</v>
      </c>
    </row>
    <row r="838" spans="1:12">
      <c r="A838" t="s">
        <v>1129</v>
      </c>
      <c r="B838" t="s">
        <v>160</v>
      </c>
      <c r="C838" t="s">
        <v>120</v>
      </c>
      <c r="D838" t="s">
        <v>138</v>
      </c>
      <c r="K838" t="s">
        <v>1130</v>
      </c>
    </row>
    <row r="839" spans="1:12">
      <c r="A839" t="s">
        <v>1131</v>
      </c>
      <c r="B839" t="s">
        <v>160</v>
      </c>
      <c r="C839" t="s">
        <v>120</v>
      </c>
      <c r="D839" t="s">
        <v>118</v>
      </c>
    </row>
    <row r="840" spans="1:12">
      <c r="A840" t="s">
        <v>1132</v>
      </c>
      <c r="B840" t="s">
        <v>162</v>
      </c>
      <c r="C840" t="s">
        <v>149</v>
      </c>
      <c r="D840" t="s">
        <v>118</v>
      </c>
      <c r="L840">
        <v>2</v>
      </c>
    </row>
    <row r="841" spans="1:12">
      <c r="A841" t="s">
        <v>1133</v>
      </c>
      <c r="B841" t="s">
        <v>151</v>
      </c>
      <c r="C841" t="s">
        <v>152</v>
      </c>
      <c r="D841" t="s">
        <v>118</v>
      </c>
      <c r="E841" t="s">
        <v>167</v>
      </c>
      <c r="I841" t="s">
        <v>221</v>
      </c>
      <c r="J841" t="s">
        <v>221</v>
      </c>
      <c r="K841" t="s">
        <v>1134</v>
      </c>
      <c r="L841">
        <v>2</v>
      </c>
    </row>
    <row r="842" spans="1:12">
      <c r="A842" t="s">
        <v>1135</v>
      </c>
      <c r="B842" t="s">
        <v>151</v>
      </c>
      <c r="C842" t="s">
        <v>152</v>
      </c>
      <c r="D842" t="s">
        <v>124</v>
      </c>
      <c r="L842">
        <v>1</v>
      </c>
    </row>
    <row r="843" spans="1:12">
      <c r="A843" t="s">
        <v>1136</v>
      </c>
      <c r="B843" t="s">
        <v>151</v>
      </c>
      <c r="C843" t="s">
        <v>152</v>
      </c>
      <c r="D843" t="s">
        <v>124</v>
      </c>
      <c r="E843" t="s">
        <v>167</v>
      </c>
      <c r="I843" t="s">
        <v>418</v>
      </c>
      <c r="J843" t="s">
        <v>418</v>
      </c>
      <c r="K843" t="s">
        <v>1137</v>
      </c>
      <c r="L843">
        <v>2</v>
      </c>
    </row>
    <row r="844" spans="1:12">
      <c r="A844" t="s">
        <v>1138</v>
      </c>
      <c r="B844" t="s">
        <v>151</v>
      </c>
      <c r="C844" t="s">
        <v>152</v>
      </c>
      <c r="D844" t="s">
        <v>124</v>
      </c>
      <c r="E844" t="s">
        <v>1139</v>
      </c>
      <c r="I844" t="s">
        <v>156</v>
      </c>
      <c r="J844" t="s">
        <v>156</v>
      </c>
      <c r="K844" t="s">
        <v>1140</v>
      </c>
      <c r="L844">
        <v>0</v>
      </c>
    </row>
    <row r="845" spans="1:12">
      <c r="A845" t="s">
        <v>1141</v>
      </c>
      <c r="B845" t="s">
        <v>151</v>
      </c>
      <c r="C845" t="s">
        <v>152</v>
      </c>
      <c r="D845" t="s">
        <v>124</v>
      </c>
      <c r="E845" t="s">
        <v>167</v>
      </c>
      <c r="I845" t="s">
        <v>156</v>
      </c>
      <c r="J845" t="s">
        <v>156</v>
      </c>
      <c r="K845" t="s">
        <v>1142</v>
      </c>
      <c r="L845">
        <v>0</v>
      </c>
    </row>
    <row r="846" spans="1:12">
      <c r="A846" t="s">
        <v>1143</v>
      </c>
      <c r="B846" t="s">
        <v>151</v>
      </c>
      <c r="C846" t="s">
        <v>149</v>
      </c>
      <c r="D846" t="s">
        <v>118</v>
      </c>
      <c r="L846">
        <v>2</v>
      </c>
    </row>
    <row r="847" spans="1:12">
      <c r="A847" t="s">
        <v>1144</v>
      </c>
      <c r="B847" t="s">
        <v>151</v>
      </c>
      <c r="C847" t="s">
        <v>152</v>
      </c>
      <c r="D847" t="s">
        <v>143</v>
      </c>
      <c r="L847">
        <v>2</v>
      </c>
    </row>
    <row r="848" spans="1:12">
      <c r="A848" t="s">
        <v>1145</v>
      </c>
      <c r="B848" t="s">
        <v>151</v>
      </c>
      <c r="C848" t="s">
        <v>149</v>
      </c>
      <c r="D848" t="s">
        <v>118</v>
      </c>
      <c r="E848" t="s">
        <v>167</v>
      </c>
      <c r="I848" t="s">
        <v>168</v>
      </c>
      <c r="J848" t="s">
        <v>168</v>
      </c>
      <c r="K848" t="s">
        <v>1146</v>
      </c>
      <c r="L848">
        <v>2</v>
      </c>
    </row>
    <row r="849" spans="1:12">
      <c r="A849" t="s">
        <v>1147</v>
      </c>
      <c r="B849" t="s">
        <v>151</v>
      </c>
      <c r="C849" t="s">
        <v>152</v>
      </c>
      <c r="D849" t="s">
        <v>124</v>
      </c>
      <c r="L849">
        <v>0</v>
      </c>
    </row>
    <row r="850" spans="1:12">
      <c r="A850" t="s">
        <v>1148</v>
      </c>
      <c r="B850" t="s">
        <v>175</v>
      </c>
      <c r="C850" t="s">
        <v>152</v>
      </c>
      <c r="D850" t="s">
        <v>118</v>
      </c>
      <c r="F850" t="s">
        <v>163</v>
      </c>
      <c r="H850" t="s">
        <v>164</v>
      </c>
      <c r="L850">
        <v>5</v>
      </c>
    </row>
    <row r="851" spans="1:12">
      <c r="A851" t="s">
        <v>1149</v>
      </c>
      <c r="B851" t="s">
        <v>175</v>
      </c>
      <c r="C851" t="s">
        <v>152</v>
      </c>
      <c r="D851" t="s">
        <v>118</v>
      </c>
      <c r="L851">
        <v>1</v>
      </c>
    </row>
    <row r="852" spans="1:12">
      <c r="A852" t="s">
        <v>1150</v>
      </c>
      <c r="B852" t="s">
        <v>175</v>
      </c>
      <c r="C852" t="s">
        <v>152</v>
      </c>
      <c r="D852" t="s">
        <v>118</v>
      </c>
    </row>
    <row r="853" spans="1:12">
      <c r="A853" t="s">
        <v>1151</v>
      </c>
      <c r="B853" t="s">
        <v>175</v>
      </c>
      <c r="C853" t="s">
        <v>152</v>
      </c>
      <c r="D853" t="s">
        <v>118</v>
      </c>
      <c r="F853" t="s">
        <v>163</v>
      </c>
      <c r="G853" t="s">
        <v>273</v>
      </c>
      <c r="H853" t="s">
        <v>164</v>
      </c>
      <c r="L853">
        <v>5</v>
      </c>
    </row>
    <row r="854" spans="1:12">
      <c r="A854" t="s">
        <v>1152</v>
      </c>
      <c r="B854" t="s">
        <v>175</v>
      </c>
      <c r="C854" t="s">
        <v>152</v>
      </c>
      <c r="D854" t="s">
        <v>138</v>
      </c>
      <c r="F854" t="s">
        <v>163</v>
      </c>
      <c r="G854" t="s">
        <v>273</v>
      </c>
      <c r="H854" t="s">
        <v>164</v>
      </c>
      <c r="L854">
        <v>5</v>
      </c>
    </row>
    <row r="855" spans="1:12">
      <c r="A855" s="33" t="s">
        <v>1153</v>
      </c>
      <c r="B855" s="33" t="s">
        <v>172</v>
      </c>
      <c r="C855" s="33" t="s">
        <v>152</v>
      </c>
      <c r="D855" s="33" t="s">
        <v>124</v>
      </c>
      <c r="E855" s="33"/>
      <c r="F855" s="33"/>
      <c r="G855" s="33"/>
      <c r="H855" s="33"/>
    </row>
    <row r="857" spans="1:12">
      <c r="A857" t="s">
        <v>1154</v>
      </c>
      <c r="B857" t="s">
        <v>116</v>
      </c>
      <c r="C857" t="s">
        <v>152</v>
      </c>
      <c r="D857" t="s">
        <v>118</v>
      </c>
    </row>
    <row r="858" spans="1:12">
      <c r="A858" t="s">
        <v>1155</v>
      </c>
      <c r="B858" t="s">
        <v>116</v>
      </c>
      <c r="C858" t="s">
        <v>149</v>
      </c>
      <c r="D858" t="s">
        <v>118</v>
      </c>
    </row>
    <row r="859" spans="1:12">
      <c r="A859" t="s">
        <v>1156</v>
      </c>
      <c r="B859" t="s">
        <v>116</v>
      </c>
      <c r="C859" t="s">
        <v>152</v>
      </c>
      <c r="D859" t="s">
        <v>118</v>
      </c>
      <c r="F859" t="s">
        <v>370</v>
      </c>
      <c r="H859" t="s">
        <v>164</v>
      </c>
    </row>
  </sheetData>
  <sheetProtection algorithmName="SHA-512" hashValue="4Yq8FZJ4APELW1SDCUl9uQIsPzYxdKzD62wa+FubDpnwyi2WI0kXGeGYty2AD7ED5EGOIG4f1f77hHVuoFJ1Bg==" saltValue="BzfEqztzjmpN3yEt4oij8A==" spinCount="100000" sheet="1" objects="1" scenarios="1"/>
  <autoFilter ref="A1:L859"/>
  <mergeCells count="7">
    <mergeCell ref="AD16:AN16"/>
    <mergeCell ref="T2:V2"/>
    <mergeCell ref="S13:AB13"/>
    <mergeCell ref="S61:W61"/>
    <mergeCell ref="S38:AA38"/>
    <mergeCell ref="Y2:AA2"/>
    <mergeCell ref="S26:AB26"/>
  </mergeCells>
  <pageMargins left="0.7" right="0.7" top="0.75" bottom="0.75" header="0.3" footer="0.3"/>
  <pageSetup paperSize="9" orientation="portrait" horizontalDpi="75" verticalDpi="7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Benefit cost calculation</vt:lpstr>
      <vt:lpstr>Sensitivity analysis</vt:lpstr>
      <vt:lpstr>Figure of benefits&amp;costs</vt:lpstr>
      <vt:lpstr>Summary </vt:lpstr>
      <vt:lpstr>Calculation of risk Pi</vt:lpstr>
      <vt:lpstr>Public and private costs</vt:lpstr>
      <vt:lpstr>Estimation of benefit value</vt:lpstr>
      <vt:lpstr>Boat owner survey results</vt:lpstr>
      <vt:lpstr>Hull survey data</vt:lpstr>
      <vt:lpstr>Boat movement data</vt:lpstr>
      <vt:lpstr>PPI for R&amp;M</vt:lpstr>
      <vt:lpstr>Estuary SEA's</vt:lpstr>
      <vt:lpstr>SEA Open Coast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Barrie Forrest</dc:creator>
  <cp:lastModifiedBy>Debbie Welsh</cp:lastModifiedBy>
  <cp:lastPrinted>2017-06-29T00:57:06Z</cp:lastPrinted>
  <dcterms:created xsi:type="dcterms:W3CDTF">2014-12-03T03:40:52Z</dcterms:created>
  <dcterms:modified xsi:type="dcterms:W3CDTF">2017-07-24T02:50:34Z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A825608</vt:lpwstr>
  </property>
  <property fmtid="{D5CDD505-2E9C-101B-9397-08002B2CF9AE}" pid="4" name="Objective-Title">
    <vt:lpwstr>NRC pathway management benefit-cost analysis - 2016-05-09</vt:lpwstr>
  </property>
  <property fmtid="{D5CDD505-2E9C-101B-9397-08002B2CF9AE}" pid="5" name="Objective-Comment">
    <vt:lpwstr/>
  </property>
  <property fmtid="{D5CDD505-2E9C-101B-9397-08002B2CF9AE}" pid="6" name="Objective-CreationStamp">
    <vt:filetime>2016-03-10T20:59:51Z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2016-05-26T04:02:51Z</vt:filetime>
  </property>
  <property fmtid="{D5CDD505-2E9C-101B-9397-08002B2CF9AE}" pid="11" name="Objective-Owner">
    <vt:lpwstr>Darryl Jones</vt:lpwstr>
  </property>
  <property fmtid="{D5CDD505-2E9C-101B-9397-08002B2CF9AE}" pid="12" name="Objective-Path">
    <vt:lpwstr>The Hub:Browse File Plan:Biosecurity:Marine:Pathways plan:Benefit-Cost Analysis:</vt:lpwstr>
  </property>
  <property fmtid="{D5CDD505-2E9C-101B-9397-08002B2CF9AE}" pid="13" name="Objective-Parent">
    <vt:lpwstr>Benefit-Cost Analysis</vt:lpwstr>
  </property>
  <property fmtid="{D5CDD505-2E9C-101B-9397-08002B2CF9AE}" pid="14" name="Objective-State">
    <vt:lpwstr>Being Edited</vt:lpwstr>
  </property>
  <property fmtid="{D5CDD505-2E9C-101B-9397-08002B2CF9AE}" pid="15" name="Objective-Version">
    <vt:lpwstr>1.26</vt:lpwstr>
  </property>
  <property fmtid="{D5CDD505-2E9C-101B-9397-08002B2CF9AE}" pid="16" name="Objective-VersionNumber">
    <vt:r8>27</vt:r8>
  </property>
  <property fmtid="{D5CDD505-2E9C-101B-9397-08002B2CF9AE}" pid="17" name="Objective-VersionComment">
    <vt:lpwstr/>
  </property>
  <property fmtid="{D5CDD505-2E9C-101B-9397-08002B2CF9AE}" pid="18" name="Objective-FileNumber">
    <vt:lpwstr>qA128058</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IRIS ID [system]">
    <vt:lpwstr/>
  </property>
  <property fmtid="{D5CDD505-2E9C-101B-9397-08002B2CF9AE}" pid="22" name="Objective-IRIS Contact ID [system]">
    <vt:lpwstr/>
  </property>
  <property fmtid="{D5CDD505-2E9C-101B-9397-08002B2CF9AE}" pid="23" name="Objective-IRIS Contact Name [system]">
    <vt:lpwstr/>
  </property>
</Properties>
</file>